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omments7.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omments8.xml" ContentType="application/vnd.openxmlformats-officedocument.spreadsheetml.comments+xml"/>
  <Override PartName="/xl/tables/table3.xml" ContentType="application/vnd.openxmlformats-officedocument.spreadsheetml.table+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U335603\Documents\77. NPR LCT Eng\10. Disruptive Technologies\"/>
    </mc:Choice>
  </mc:AlternateContent>
  <xr:revisionPtr revIDLastSave="0" documentId="13_ncr:1_{92032A82-9329-4937-A20E-1C9D18990043}" xr6:coauthVersionLast="36" xr6:coauthVersionMax="36" xr10:uidLastSave="{00000000-0000-0000-0000-000000000000}"/>
  <bookViews>
    <workbookView xWindow="0" yWindow="0" windowWidth="20430" windowHeight="7245" tabRatio="857" firstSheet="12" activeTab="12" xr2:uid="{64CF1285-F004-45B9-B64E-5D712820B138}"/>
  </bookViews>
  <sheets>
    <sheet name="ADMD Calc" sheetId="1" state="hidden" r:id="rId1"/>
    <sheet name="Variables Calc" sheetId="12" state="hidden" r:id="rId2"/>
    <sheet name="Batt." sheetId="5" state="hidden" r:id="rId3"/>
    <sheet name="Curr Lim." sheetId="6" state="hidden" r:id="rId4"/>
    <sheet name="HPC5N" sheetId="9" state="hidden" r:id="rId5"/>
    <sheet name="HPC5PC" sheetId="13" state="hidden" r:id="rId6"/>
    <sheet name="HPC8N" sheetId="14" state="hidden" r:id="rId7"/>
    <sheet name="HPC8PC" sheetId="15" state="hidden" r:id="rId8"/>
    <sheet name="HPC16N" sheetId="16" state="hidden" r:id="rId9"/>
    <sheet name="HPC16PC" sheetId="17" state="hidden" r:id="rId10"/>
    <sheet name="HPBatt8KW" sheetId="19" state="hidden" r:id="rId11"/>
    <sheet name="HPBatt16KW" sheetId="21" state="hidden" r:id="rId12"/>
    <sheet name="SPEN ADMD Calculator" sheetId="31" r:id="rId13"/>
    <sheet name="Assumptions" sheetId="34" r:id="rId14"/>
    <sheet name="User Guide" sheetId="35" r:id="rId15"/>
    <sheet name="Graphs" sheetId="38" state="hidden" r:id="rId16"/>
    <sheet name="ASHP" sheetId="36" state="hidden" r:id="rId17"/>
    <sheet name="G&amp;WSHP" sheetId="37" state="hidden" r:id="rId18"/>
    <sheet name="HybridHP" sheetId="39" state="hidden" r:id="rId19"/>
    <sheet name="Data" sheetId="33" state="hidden" r:id="rId20"/>
    <sheet name="HP Variables Calc New" sheetId="4" state="hidden" r:id="rId2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53" i="31" l="1"/>
  <c r="K53" i="31"/>
  <c r="J53" i="31"/>
  <c r="L50" i="31"/>
  <c r="K50" i="31"/>
  <c r="J50" i="31"/>
  <c r="L47" i="31"/>
  <c r="K47" i="31"/>
  <c r="J47" i="31"/>
  <c r="L44" i="31"/>
  <c r="K44" i="31"/>
  <c r="J44" i="31"/>
  <c r="L37" i="31"/>
  <c r="K37" i="31"/>
  <c r="J37" i="31"/>
  <c r="L34" i="31"/>
  <c r="K34" i="31"/>
  <c r="J34" i="31"/>
  <c r="L31" i="31"/>
  <c r="K31" i="31"/>
  <c r="J31" i="31"/>
  <c r="L28" i="31"/>
  <c r="K28" i="31"/>
  <c r="J28" i="31"/>
  <c r="C62" i="31" l="1"/>
  <c r="C29" i="31"/>
  <c r="C50" i="31" s="1"/>
  <c r="H45" i="31"/>
  <c r="H44" i="31"/>
  <c r="H43" i="31"/>
  <c r="H41" i="31"/>
  <c r="H40" i="31"/>
  <c r="G39" i="31"/>
  <c r="H39" i="31"/>
  <c r="H37" i="31"/>
  <c r="H36" i="31"/>
  <c r="H35" i="31"/>
  <c r="G49" i="31"/>
  <c r="G48" i="31"/>
  <c r="G47" i="31"/>
  <c r="G45" i="31"/>
  <c r="G44" i="31"/>
  <c r="G43" i="31"/>
  <c r="G41" i="31"/>
  <c r="G40" i="31"/>
  <c r="G37" i="31"/>
  <c r="G35" i="31"/>
  <c r="G31" i="31"/>
  <c r="G52" i="31"/>
  <c r="H52" i="31" s="1"/>
  <c r="G50" i="31"/>
  <c r="G29" i="31"/>
  <c r="G36" i="31"/>
  <c r="G30" i="31"/>
  <c r="G33" i="31"/>
  <c r="H33" i="31" s="1"/>
  <c r="C31" i="31" l="1"/>
  <c r="G38" i="31"/>
  <c r="H49" i="31"/>
  <c r="H29" i="31"/>
  <c r="H34" i="31"/>
  <c r="H42" i="31"/>
  <c r="H48" i="31"/>
  <c r="H50" i="31"/>
  <c r="F45" i="31"/>
  <c r="F44" i="31"/>
  <c r="F43" i="31"/>
  <c r="F40" i="31"/>
  <c r="F41" i="31"/>
  <c r="F39" i="31"/>
  <c r="F37" i="31"/>
  <c r="F36" i="31"/>
  <c r="F35" i="31"/>
  <c r="E31" i="31"/>
  <c r="E49" i="31"/>
  <c r="E48" i="31"/>
  <c r="E47" i="31"/>
  <c r="E45" i="31"/>
  <c r="E44" i="31"/>
  <c r="E43" i="31"/>
  <c r="E41" i="31"/>
  <c r="E40" i="31"/>
  <c r="E39" i="31"/>
  <c r="E37" i="31"/>
  <c r="E35" i="31"/>
  <c r="E36" i="31"/>
  <c r="E52" i="31"/>
  <c r="E50" i="31"/>
  <c r="E33" i="31"/>
  <c r="F33" i="31" s="1"/>
  <c r="E30" i="31"/>
  <c r="E29" i="31"/>
  <c r="F52" i="31"/>
  <c r="G46" i="31" l="1"/>
  <c r="H47" i="31"/>
  <c r="H46" i="31" s="1"/>
  <c r="H38" i="31"/>
  <c r="G42" i="31"/>
  <c r="G34" i="31"/>
  <c r="H31" i="31"/>
  <c r="F49" i="31"/>
  <c r="F29" i="31"/>
  <c r="F48" i="31"/>
  <c r="F50" i="31"/>
  <c r="N44" i="39"/>
  <c r="M44" i="39"/>
  <c r="N43" i="39"/>
  <c r="M43" i="39"/>
  <c r="N42" i="39"/>
  <c r="M42" i="39"/>
  <c r="N41" i="39"/>
  <c r="M41" i="39"/>
  <c r="N40" i="39"/>
  <c r="M40" i="39"/>
  <c r="N39" i="39"/>
  <c r="M39" i="39"/>
  <c r="N38" i="39"/>
  <c r="M38" i="39"/>
  <c r="N37" i="39"/>
  <c r="M37" i="39"/>
  <c r="N36" i="39"/>
  <c r="M36" i="39"/>
  <c r="N35" i="39"/>
  <c r="M35" i="39"/>
  <c r="N34" i="39"/>
  <c r="M34" i="39"/>
  <c r="N33" i="39"/>
  <c r="M33" i="39"/>
  <c r="N32" i="39"/>
  <c r="M32" i="39"/>
  <c r="N31" i="39"/>
  <c r="M31" i="39"/>
  <c r="N30" i="39"/>
  <c r="M30" i="39"/>
  <c r="N29" i="39"/>
  <c r="M29" i="39"/>
  <c r="N28" i="39"/>
  <c r="M28" i="39"/>
  <c r="N27" i="39"/>
  <c r="M27" i="39"/>
  <c r="N26" i="39"/>
  <c r="M26" i="39"/>
  <c r="N25" i="39"/>
  <c r="M25" i="39"/>
  <c r="N24" i="39"/>
  <c r="M24" i="39"/>
  <c r="N23" i="39"/>
  <c r="M23" i="39"/>
  <c r="N22" i="39"/>
  <c r="M22" i="39"/>
  <c r="N21" i="39"/>
  <c r="M21" i="39"/>
  <c r="N20" i="39"/>
  <c r="M20" i="39"/>
  <c r="N19" i="39"/>
  <c r="M19" i="39"/>
  <c r="L19" i="39"/>
  <c r="L20" i="39" s="1"/>
  <c r="L21" i="39" s="1"/>
  <c r="L22" i="39" s="1"/>
  <c r="L23" i="39" s="1"/>
  <c r="L24" i="39" s="1"/>
  <c r="L25" i="39" s="1"/>
  <c r="L26" i="39" s="1"/>
  <c r="L27" i="39" s="1"/>
  <c r="L28" i="39" s="1"/>
  <c r="L29" i="39" s="1"/>
  <c r="L30" i="39" s="1"/>
  <c r="L31" i="39" s="1"/>
  <c r="L32" i="39" s="1"/>
  <c r="L33" i="39" s="1"/>
  <c r="L34" i="39" s="1"/>
  <c r="L35" i="39" s="1"/>
  <c r="L36" i="39" s="1"/>
  <c r="L37" i="39" s="1"/>
  <c r="L38" i="39" s="1"/>
  <c r="L39" i="39" s="1"/>
  <c r="L40" i="39" s="1"/>
  <c r="L41" i="39" s="1"/>
  <c r="L42" i="39" s="1"/>
  <c r="L43" i="39" s="1"/>
  <c r="L44" i="39" s="1"/>
  <c r="L9" i="39"/>
  <c r="N8" i="39"/>
  <c r="L8" i="39"/>
  <c r="H8" i="39"/>
  <c r="N7" i="39"/>
  <c r="N9" i="39" s="1"/>
  <c r="L7" i="39"/>
  <c r="H7" i="39"/>
  <c r="H6" i="39"/>
  <c r="J5" i="39"/>
  <c r="I5" i="39"/>
  <c r="H5" i="39"/>
  <c r="I4" i="39"/>
  <c r="J4" i="39" s="1"/>
  <c r="H4" i="39"/>
  <c r="H16" i="37"/>
  <c r="J21" i="37" s="1"/>
  <c r="N9" i="37"/>
  <c r="L9" i="37"/>
  <c r="H9" i="37"/>
  <c r="N8" i="37"/>
  <c r="L8" i="37"/>
  <c r="H8" i="37"/>
  <c r="N7" i="37"/>
  <c r="N10" i="37" s="1"/>
  <c r="L7" i="37"/>
  <c r="L10" i="37" s="1"/>
  <c r="H7" i="37"/>
  <c r="H6" i="37"/>
  <c r="H5" i="37"/>
  <c r="I4" i="37"/>
  <c r="J4" i="37" s="1"/>
  <c r="H4" i="37"/>
  <c r="O23" i="36"/>
  <c r="P23" i="36" s="1"/>
  <c r="Q23" i="36" s="1"/>
  <c r="N23" i="36"/>
  <c r="O22" i="36"/>
  <c r="P22" i="36" s="1"/>
  <c r="Q22" i="36" s="1"/>
  <c r="N22" i="36"/>
  <c r="O21" i="36"/>
  <c r="P21" i="36" s="1"/>
  <c r="Q21" i="36" s="1"/>
  <c r="N21" i="36"/>
  <c r="O20" i="36"/>
  <c r="P20" i="36" s="1"/>
  <c r="Q20" i="36" s="1"/>
  <c r="N20" i="36"/>
  <c r="O19" i="36"/>
  <c r="P19" i="36" s="1"/>
  <c r="Q19" i="36" s="1"/>
  <c r="N19" i="36"/>
  <c r="P18" i="36"/>
  <c r="O18" i="36"/>
  <c r="N18" i="36"/>
  <c r="O17" i="36"/>
  <c r="P17" i="36" s="1"/>
  <c r="N17" i="36"/>
  <c r="P16" i="36"/>
  <c r="J10" i="36"/>
  <c r="I10" i="36"/>
  <c r="I9" i="36" s="1"/>
  <c r="H10" i="36"/>
  <c r="H9" i="36"/>
  <c r="J9" i="36" s="1"/>
  <c r="G9" i="36"/>
  <c r="H8" i="36"/>
  <c r="J8" i="36" s="1"/>
  <c r="G8" i="36"/>
  <c r="H7" i="36"/>
  <c r="J7" i="36" s="1"/>
  <c r="G7" i="36"/>
  <c r="H6" i="36"/>
  <c r="J6" i="36" s="1"/>
  <c r="G6" i="36"/>
  <c r="H5" i="36"/>
  <c r="J5" i="36" s="1"/>
  <c r="G5" i="36"/>
  <c r="H4" i="36"/>
  <c r="J4" i="36" s="1"/>
  <c r="G4" i="36"/>
  <c r="H30" i="31" l="1"/>
  <c r="H51" i="31" s="1"/>
  <c r="G51" i="31"/>
  <c r="F38" i="31"/>
  <c r="F34" i="31"/>
  <c r="F42" i="31"/>
  <c r="E42" i="31"/>
  <c r="F31" i="31"/>
  <c r="E38" i="31"/>
  <c r="E46" i="31"/>
  <c r="F47" i="31"/>
  <c r="F46" i="31" s="1"/>
  <c r="E34" i="31"/>
  <c r="J19" i="37"/>
  <c r="I5" i="37" s="1"/>
  <c r="J5" i="37" s="1"/>
  <c r="J20" i="37"/>
  <c r="I4" i="36"/>
  <c r="I5" i="36"/>
  <c r="I6" i="36"/>
  <c r="I7" i="36"/>
  <c r="I8" i="36"/>
  <c r="H53" i="31" l="1"/>
  <c r="H54" i="31" s="1"/>
  <c r="H55" i="31" s="1"/>
  <c r="H56" i="31" s="1"/>
  <c r="G53" i="31"/>
  <c r="G54" i="31" s="1"/>
  <c r="G55" i="31" s="1"/>
  <c r="G56" i="31" s="1"/>
  <c r="E51" i="31"/>
  <c r="F30" i="31"/>
  <c r="F51" i="31" s="1"/>
  <c r="F53" i="31" s="1"/>
  <c r="F54" i="31" s="1"/>
  <c r="D29" i="31"/>
  <c r="D50" i="31"/>
  <c r="D41" i="31"/>
  <c r="C52" i="31"/>
  <c r="D52" i="31" s="1"/>
  <c r="E53" i="31" l="1"/>
  <c r="E54" i="31" s="1"/>
  <c r="E55" i="31" s="1"/>
  <c r="E56" i="31" s="1"/>
  <c r="F55" i="31"/>
  <c r="F56" i="31" s="1"/>
  <c r="D36" i="31"/>
  <c r="D44" i="31"/>
  <c r="D39" i="31"/>
  <c r="D37" i="31"/>
  <c r="D40" i="31"/>
  <c r="D45" i="31"/>
  <c r="D35" i="31"/>
  <c r="C47" i="31"/>
  <c r="D47" i="31" s="1"/>
  <c r="C49" i="31"/>
  <c r="D49" i="31" s="1"/>
  <c r="C48" i="31"/>
  <c r="D48" i="31" s="1"/>
  <c r="C44" i="31"/>
  <c r="C45" i="31"/>
  <c r="C43" i="31"/>
  <c r="C41" i="31"/>
  <c r="C40" i="31"/>
  <c r="C39" i="31"/>
  <c r="C37" i="31"/>
  <c r="C36" i="31"/>
  <c r="C35" i="31"/>
  <c r="C33" i="31"/>
  <c r="D33" i="31" s="1"/>
  <c r="D34" i="31" l="1"/>
  <c r="C42" i="31"/>
  <c r="D38" i="31"/>
  <c r="C38" i="31"/>
  <c r="C34" i="31"/>
  <c r="D46" i="31"/>
  <c r="D31" i="31"/>
  <c r="C46" i="31"/>
  <c r="AA52" i="31" l="1"/>
  <c r="AA51" i="31"/>
  <c r="AA49" i="31"/>
  <c r="Y49" i="31"/>
  <c r="AA48" i="31"/>
  <c r="AA46" i="31"/>
  <c r="AA45" i="31"/>
  <c r="Y45" i="31"/>
  <c r="D43" i="31"/>
  <c r="D42" i="31" s="1"/>
  <c r="AA44" i="31"/>
  <c r="AA53" i="31" s="1"/>
  <c r="AA28" i="31"/>
  <c r="V18" i="31"/>
  <c r="U18" i="31"/>
  <c r="T18" i="31"/>
  <c r="AA10" i="31"/>
  <c r="X52" i="31" l="1"/>
  <c r="Y48" i="31"/>
  <c r="X48" i="31"/>
  <c r="Y52" i="31"/>
  <c r="Z46" i="31"/>
  <c r="Z45" i="31"/>
  <c r="Z51" i="31"/>
  <c r="X46" i="31"/>
  <c r="Z49" i="31"/>
  <c r="X45" i="31"/>
  <c r="Y46" i="31"/>
  <c r="Z48" i="31"/>
  <c r="X51" i="31"/>
  <c r="X49" i="31"/>
  <c r="Y51" i="31"/>
  <c r="Z52" i="31"/>
  <c r="X53" i="31"/>
  <c r="Z53" i="31"/>
  <c r="Y53" i="31"/>
  <c r="AA47" i="31"/>
  <c r="AA50" i="31"/>
  <c r="Y50" i="31" l="1"/>
  <c r="Z50" i="31"/>
  <c r="X50" i="31"/>
  <c r="Y47" i="31"/>
  <c r="Z47" i="31"/>
  <c r="X47" i="31"/>
  <c r="Q60" i="31" l="1"/>
  <c r="L60" i="31"/>
  <c r="K60" i="31"/>
  <c r="J60" i="31"/>
  <c r="L19" i="31" l="1"/>
  <c r="K19" i="31"/>
  <c r="J19" i="31"/>
  <c r="L16" i="31"/>
  <c r="K16" i="31"/>
  <c r="J16" i="31"/>
  <c r="L13" i="31"/>
  <c r="K13" i="31"/>
  <c r="J13" i="31"/>
  <c r="Q10" i="31"/>
  <c r="L10" i="31"/>
  <c r="K10" i="31"/>
  <c r="C32" i="31" s="1"/>
  <c r="J10" i="31"/>
  <c r="G32" i="31" l="1"/>
  <c r="H32" i="31" s="1"/>
  <c r="E32" i="31"/>
  <c r="F32" i="31" s="1"/>
  <c r="D32" i="31"/>
  <c r="C30" i="31"/>
  <c r="C51" i="31" s="1"/>
  <c r="C53" i="31" s="1"/>
  <c r="C55" i="31" s="1"/>
  <c r="D18" i="31" s="1"/>
  <c r="BB17" i="1"/>
  <c r="D30" i="31" l="1"/>
  <c r="D51" i="31" s="1"/>
  <c r="D54" i="12"/>
  <c r="C48" i="12"/>
  <c r="D53" i="31" l="1"/>
  <c r="R6" i="21"/>
  <c r="Q41" i="21"/>
  <c r="R41" i="21" s="1"/>
  <c r="Q42" i="21"/>
  <c r="Q43" i="21"/>
  <c r="Q44" i="21"/>
  <c r="R44" i="21" s="1"/>
  <c r="Q45" i="21"/>
  <c r="Q46" i="21"/>
  <c r="Q47" i="21"/>
  <c r="Q48" i="21"/>
  <c r="Q49" i="21"/>
  <c r="Q50" i="21"/>
  <c r="Q51" i="21"/>
  <c r="Q52" i="21"/>
  <c r="Q53" i="21"/>
  <c r="Q54" i="21"/>
  <c r="Q55" i="21"/>
  <c r="Q56" i="21"/>
  <c r="Q57" i="21"/>
  <c r="Q58" i="21"/>
  <c r="R58" i="21" s="1"/>
  <c r="Q59" i="21"/>
  <c r="Q60" i="21"/>
  <c r="R60" i="21" s="1"/>
  <c r="Q61" i="21"/>
  <c r="Q62" i="21"/>
  <c r="Q63" i="21"/>
  <c r="R52" i="21"/>
  <c r="Q40" i="21"/>
  <c r="R40" i="21" s="1"/>
  <c r="AI63" i="21"/>
  <c r="AH63" i="21"/>
  <c r="P63" i="21"/>
  <c r="AI62" i="21"/>
  <c r="AH62" i="21"/>
  <c r="P62" i="21"/>
  <c r="AI61" i="21"/>
  <c r="AH61" i="21"/>
  <c r="P61" i="21"/>
  <c r="R61" i="21" s="1"/>
  <c r="AI60" i="21"/>
  <c r="AJ60" i="21" s="1"/>
  <c r="AH60" i="21"/>
  <c r="P60" i="21"/>
  <c r="AI59" i="21"/>
  <c r="AH59" i="21"/>
  <c r="P59" i="21"/>
  <c r="AI58" i="21"/>
  <c r="AH58" i="21"/>
  <c r="P58" i="21"/>
  <c r="AI57" i="21"/>
  <c r="AH57" i="21"/>
  <c r="P57" i="21"/>
  <c r="AI56" i="21"/>
  <c r="AJ56" i="21" s="1"/>
  <c r="AH56" i="21"/>
  <c r="P56" i="21"/>
  <c r="AI55" i="21"/>
  <c r="AH55" i="21"/>
  <c r="P55" i="21"/>
  <c r="AI54" i="21"/>
  <c r="AH54" i="21"/>
  <c r="P54" i="21"/>
  <c r="AI53" i="21"/>
  <c r="AH53" i="21"/>
  <c r="P53" i="21"/>
  <c r="AI52" i="21"/>
  <c r="AJ52" i="21" s="1"/>
  <c r="AH52" i="21"/>
  <c r="P52" i="21"/>
  <c r="AI51" i="21"/>
  <c r="AH51" i="21"/>
  <c r="P51" i="21"/>
  <c r="AI50" i="21"/>
  <c r="AH50" i="21"/>
  <c r="P50" i="21"/>
  <c r="AI49" i="21"/>
  <c r="AH49" i="21"/>
  <c r="P49" i="21"/>
  <c r="AI48" i="21"/>
  <c r="AJ48" i="21" s="1"/>
  <c r="AH48" i="21"/>
  <c r="P48" i="21"/>
  <c r="AI47" i="21"/>
  <c r="AH47" i="21"/>
  <c r="P47" i="21"/>
  <c r="AI46" i="21"/>
  <c r="AH46" i="21"/>
  <c r="P46" i="21"/>
  <c r="AI45" i="21"/>
  <c r="AH45" i="21"/>
  <c r="P45" i="21"/>
  <c r="AI44" i="21"/>
  <c r="AJ44" i="21" s="1"/>
  <c r="AH44" i="21"/>
  <c r="P44" i="21"/>
  <c r="AI43" i="21"/>
  <c r="AH43" i="21"/>
  <c r="P43" i="21"/>
  <c r="AI42" i="21"/>
  <c r="AJ42" i="21" s="1"/>
  <c r="AH42" i="21"/>
  <c r="P42" i="21"/>
  <c r="AI41" i="21"/>
  <c r="AH41" i="21"/>
  <c r="P41" i="21"/>
  <c r="AI40" i="21"/>
  <c r="AH40" i="21"/>
  <c r="P40" i="21"/>
  <c r="J29" i="21"/>
  <c r="AL28" i="21"/>
  <c r="AI28" i="21"/>
  <c r="AH28" i="21"/>
  <c r="Z28" i="21"/>
  <c r="AA28" i="21" s="1"/>
  <c r="Y28" i="21"/>
  <c r="Q28" i="21"/>
  <c r="P28" i="21"/>
  <c r="H28" i="21"/>
  <c r="I28" i="21" s="1"/>
  <c r="G28" i="21"/>
  <c r="AL27" i="21"/>
  <c r="AI27" i="21"/>
  <c r="AH27" i="21"/>
  <c r="Z27" i="21"/>
  <c r="Y27" i="21"/>
  <c r="AA27" i="21" s="1"/>
  <c r="Q27" i="21"/>
  <c r="P27" i="21"/>
  <c r="H27" i="21"/>
  <c r="G27" i="21"/>
  <c r="I27" i="21" s="1"/>
  <c r="AL26" i="21"/>
  <c r="AI26" i="21"/>
  <c r="AH26" i="21"/>
  <c r="Z26" i="21"/>
  <c r="AA26" i="21" s="1"/>
  <c r="Y26" i="21"/>
  <c r="Q26" i="21"/>
  <c r="P26" i="21"/>
  <c r="H26" i="21"/>
  <c r="I26" i="21" s="1"/>
  <c r="G26" i="21"/>
  <c r="AL25" i="21"/>
  <c r="AI25" i="21"/>
  <c r="AJ25" i="21" s="1"/>
  <c r="AH25" i="21"/>
  <c r="Z25" i="21"/>
  <c r="AA25" i="21" s="1"/>
  <c r="Y25" i="21"/>
  <c r="Q25" i="21"/>
  <c r="R25" i="21" s="1"/>
  <c r="P25" i="21"/>
  <c r="H25" i="21"/>
  <c r="I25" i="21" s="1"/>
  <c r="G25" i="21"/>
  <c r="AL24" i="21"/>
  <c r="AI24" i="21"/>
  <c r="AH24" i="21"/>
  <c r="Z24" i="21"/>
  <c r="AA24" i="21" s="1"/>
  <c r="Y24" i="21"/>
  <c r="Q24" i="21"/>
  <c r="R24" i="21" s="1"/>
  <c r="P24" i="21"/>
  <c r="H24" i="21"/>
  <c r="I24" i="21" s="1"/>
  <c r="G24" i="21"/>
  <c r="AL23" i="21"/>
  <c r="AI23" i="21"/>
  <c r="AH23" i="21"/>
  <c r="Z23" i="21"/>
  <c r="AA23" i="21" s="1"/>
  <c r="Y23" i="21"/>
  <c r="Q23" i="21"/>
  <c r="P23" i="21"/>
  <c r="H23" i="21"/>
  <c r="I23" i="21" s="1"/>
  <c r="G23" i="21"/>
  <c r="AN22" i="21"/>
  <c r="AN23" i="21" s="1"/>
  <c r="AL22" i="21"/>
  <c r="AI22" i="21"/>
  <c r="AJ22" i="21" s="1"/>
  <c r="AH22" i="21"/>
  <c r="Z22" i="21"/>
  <c r="AA22" i="21" s="1"/>
  <c r="Y22" i="21"/>
  <c r="Q22" i="21"/>
  <c r="P22" i="21"/>
  <c r="H22" i="21"/>
  <c r="I22" i="21" s="1"/>
  <c r="G22" i="21"/>
  <c r="AL21" i="21"/>
  <c r="AI21" i="21"/>
  <c r="AH21" i="21"/>
  <c r="AA21" i="21"/>
  <c r="Z21" i="21"/>
  <c r="Y21" i="21"/>
  <c r="Q21" i="21"/>
  <c r="P21" i="21"/>
  <c r="I21" i="21"/>
  <c r="H21" i="21"/>
  <c r="G21" i="21"/>
  <c r="AL20" i="21"/>
  <c r="AI20" i="21"/>
  <c r="AH20" i="21"/>
  <c r="Z20" i="21"/>
  <c r="AA20" i="21" s="1"/>
  <c r="Y20" i="21"/>
  <c r="Q20" i="21"/>
  <c r="P20" i="21"/>
  <c r="H20" i="21"/>
  <c r="I20" i="21" s="1"/>
  <c r="G20" i="21"/>
  <c r="AL19" i="21"/>
  <c r="AI19" i="21"/>
  <c r="AH19" i="21"/>
  <c r="Z19" i="21"/>
  <c r="Y19" i="21"/>
  <c r="AA19" i="21" s="1"/>
  <c r="Q19" i="21"/>
  <c r="P19" i="21"/>
  <c r="H19" i="21"/>
  <c r="G19" i="21"/>
  <c r="I19" i="21" s="1"/>
  <c r="AL18" i="21"/>
  <c r="AI18" i="21"/>
  <c r="AJ18" i="21" s="1"/>
  <c r="AH18" i="21"/>
  <c r="Z18" i="21"/>
  <c r="AA18" i="21" s="1"/>
  <c r="Y18" i="21"/>
  <c r="Q18" i="21"/>
  <c r="P18" i="21"/>
  <c r="H18" i="21"/>
  <c r="I18" i="21" s="1"/>
  <c r="G18" i="21"/>
  <c r="AL17" i="21"/>
  <c r="AI17" i="21"/>
  <c r="AJ17" i="21" s="1"/>
  <c r="AH17" i="21"/>
  <c r="AA17" i="21"/>
  <c r="Z17" i="21"/>
  <c r="Y17" i="21"/>
  <c r="Q17" i="21"/>
  <c r="P17" i="21"/>
  <c r="R17" i="21" s="1"/>
  <c r="I17" i="21"/>
  <c r="H17" i="21"/>
  <c r="G17" i="21"/>
  <c r="AL16" i="21"/>
  <c r="AI16" i="21"/>
  <c r="AJ16" i="21" s="1"/>
  <c r="AH16" i="21"/>
  <c r="Z16" i="21"/>
  <c r="AA16" i="21" s="1"/>
  <c r="Y16" i="21"/>
  <c r="Q16" i="21"/>
  <c r="P16" i="21"/>
  <c r="H16" i="21"/>
  <c r="I16" i="21" s="1"/>
  <c r="G16" i="21"/>
  <c r="AL15" i="21"/>
  <c r="AI15" i="21"/>
  <c r="AH15" i="21"/>
  <c r="Z15" i="21"/>
  <c r="Y15" i="21"/>
  <c r="AA15" i="21" s="1"/>
  <c r="Q15" i="21"/>
  <c r="P15" i="21"/>
  <c r="H15" i="21"/>
  <c r="G15" i="21"/>
  <c r="I15" i="21" s="1"/>
  <c r="AL14" i="21"/>
  <c r="AI14" i="21"/>
  <c r="AH14" i="21"/>
  <c r="Z14" i="21"/>
  <c r="AA14" i="21" s="1"/>
  <c r="Y14" i="21"/>
  <c r="Q14" i="21"/>
  <c r="P14" i="21"/>
  <c r="H14" i="21"/>
  <c r="I14" i="21" s="1"/>
  <c r="G14" i="21"/>
  <c r="AL13" i="21"/>
  <c r="AI13" i="21"/>
  <c r="AJ13" i="21" s="1"/>
  <c r="AH13" i="21"/>
  <c r="AA13" i="21"/>
  <c r="Z13" i="21"/>
  <c r="Y13" i="21"/>
  <c r="Q13" i="21"/>
  <c r="P13" i="21"/>
  <c r="I13" i="21"/>
  <c r="H13" i="21"/>
  <c r="G13" i="21"/>
  <c r="AL12" i="21"/>
  <c r="AI12" i="21"/>
  <c r="AJ12" i="21" s="1"/>
  <c r="AH12" i="21"/>
  <c r="Z12" i="21"/>
  <c r="AA12" i="21" s="1"/>
  <c r="Y12" i="21"/>
  <c r="Q12" i="21"/>
  <c r="P12" i="21"/>
  <c r="H12" i="21"/>
  <c r="I12" i="21" s="1"/>
  <c r="G12" i="21"/>
  <c r="AL11" i="21"/>
  <c r="AI11" i="21"/>
  <c r="AH11" i="21"/>
  <c r="Z11" i="21"/>
  <c r="Y11" i="21"/>
  <c r="AA11" i="21" s="1"/>
  <c r="Q11" i="21"/>
  <c r="P11" i="21"/>
  <c r="I11" i="21"/>
  <c r="H11" i="21"/>
  <c r="G11" i="21"/>
  <c r="AL10" i="21"/>
  <c r="AI10" i="21"/>
  <c r="AH10" i="21"/>
  <c r="Z10" i="21"/>
  <c r="AA10" i="21" s="1"/>
  <c r="Y10" i="21"/>
  <c r="Q10" i="21"/>
  <c r="R10" i="21" s="1"/>
  <c r="P10" i="21"/>
  <c r="H10" i="21"/>
  <c r="I10" i="21" s="1"/>
  <c r="G10" i="21"/>
  <c r="AL9" i="21"/>
  <c r="AI9" i="21"/>
  <c r="AH9" i="21"/>
  <c r="AJ9" i="21" s="1"/>
  <c r="AA9" i="21"/>
  <c r="Z9" i="21"/>
  <c r="Y9" i="21"/>
  <c r="Q9" i="21"/>
  <c r="P9" i="21"/>
  <c r="H9" i="21"/>
  <c r="G9" i="21"/>
  <c r="I9" i="21" s="1"/>
  <c r="AL8" i="21"/>
  <c r="AI8" i="21"/>
  <c r="AH8" i="21"/>
  <c r="Z8" i="21"/>
  <c r="Y8" i="21"/>
  <c r="Q8" i="21"/>
  <c r="P8" i="21"/>
  <c r="H8" i="21"/>
  <c r="G8" i="21"/>
  <c r="I8" i="21" s="1"/>
  <c r="AL7" i="21"/>
  <c r="AI7" i="21"/>
  <c r="AH7" i="21"/>
  <c r="Z7" i="21"/>
  <c r="AA7" i="21" s="1"/>
  <c r="Y7" i="21"/>
  <c r="Q7" i="21"/>
  <c r="R7" i="21" s="1"/>
  <c r="P7" i="21"/>
  <c r="H7" i="21"/>
  <c r="I7" i="21" s="1"/>
  <c r="G7" i="21"/>
  <c r="AL6" i="21"/>
  <c r="AI6" i="21"/>
  <c r="AJ6" i="21" s="1"/>
  <c r="AH6" i="21"/>
  <c r="Z6" i="21"/>
  <c r="AA6" i="21" s="1"/>
  <c r="Y6" i="21"/>
  <c r="Q6" i="21"/>
  <c r="P6" i="21"/>
  <c r="H6" i="21"/>
  <c r="I6" i="21" s="1"/>
  <c r="G6" i="21"/>
  <c r="AL5" i="21"/>
  <c r="AI5" i="21"/>
  <c r="AJ5" i="21" s="1"/>
  <c r="AH5" i="21"/>
  <c r="AA5" i="21"/>
  <c r="Z5" i="21"/>
  <c r="AB29" i="21" s="1"/>
  <c r="Y5" i="21"/>
  <c r="Q5" i="21"/>
  <c r="R5" i="21" s="1"/>
  <c r="P5" i="21"/>
  <c r="I5" i="21"/>
  <c r="J5" i="21" s="1"/>
  <c r="H5" i="21"/>
  <c r="G5" i="21"/>
  <c r="AL41" i="19"/>
  <c r="AI41" i="19"/>
  <c r="AI42" i="19"/>
  <c r="AI43" i="19"/>
  <c r="AI44" i="19"/>
  <c r="AI45" i="19"/>
  <c r="AI46" i="19"/>
  <c r="AI47" i="19"/>
  <c r="AI48" i="19"/>
  <c r="AI49" i="19"/>
  <c r="AI50" i="19"/>
  <c r="AI51" i="19"/>
  <c r="AI52" i="19"/>
  <c r="AI53" i="19"/>
  <c r="AI54" i="19"/>
  <c r="AI55" i="19"/>
  <c r="AI56" i="19"/>
  <c r="AI57" i="19"/>
  <c r="AI58" i="19"/>
  <c r="AI59" i="19"/>
  <c r="AI60" i="19"/>
  <c r="AI61" i="19"/>
  <c r="AI62" i="19"/>
  <c r="AI63" i="19"/>
  <c r="AI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40" i="19"/>
  <c r="D54" i="31" l="1"/>
  <c r="D55" i="31"/>
  <c r="C54" i="31"/>
  <c r="C64" i="31"/>
  <c r="C63" i="31"/>
  <c r="C56" i="31"/>
  <c r="D17" i="31" s="1"/>
  <c r="AJ43" i="21"/>
  <c r="AJ47" i="21"/>
  <c r="AJ51" i="21"/>
  <c r="AJ55" i="21"/>
  <c r="AJ59" i="21"/>
  <c r="AJ63" i="21"/>
  <c r="AJ46" i="21"/>
  <c r="AJ50" i="21"/>
  <c r="AJ54" i="21"/>
  <c r="AJ58" i="21"/>
  <c r="AJ62" i="21"/>
  <c r="AJ41" i="21"/>
  <c r="AJ45" i="21"/>
  <c r="AJ49" i="21"/>
  <c r="AJ53" i="21"/>
  <c r="AJ57" i="21"/>
  <c r="AJ61" i="21"/>
  <c r="AJ19" i="21"/>
  <c r="AN24" i="21"/>
  <c r="AN25" i="21" s="1"/>
  <c r="AJ21" i="21"/>
  <c r="AJ27" i="21"/>
  <c r="AJ15" i="21"/>
  <c r="AJ11" i="21"/>
  <c r="AJ7" i="21"/>
  <c r="AJ10" i="21"/>
  <c r="AJ14" i="21"/>
  <c r="AJ23" i="21"/>
  <c r="AJ26" i="21"/>
  <c r="AJ8" i="21"/>
  <c r="AK13" i="21" s="1"/>
  <c r="AJ20" i="21"/>
  <c r="AJ24" i="21"/>
  <c r="AJ28" i="21"/>
  <c r="S50" i="21"/>
  <c r="S43" i="21"/>
  <c r="S44" i="21"/>
  <c r="S41" i="21"/>
  <c r="R21" i="21"/>
  <c r="R19" i="21"/>
  <c r="R8" i="21"/>
  <c r="S13" i="21" s="1"/>
  <c r="R13" i="21"/>
  <c r="R15" i="21"/>
  <c r="R27" i="21"/>
  <c r="R9" i="21"/>
  <c r="R11" i="21"/>
  <c r="S11" i="21" s="1"/>
  <c r="R45" i="21"/>
  <c r="S54" i="21" s="1"/>
  <c r="R46" i="21"/>
  <c r="R47" i="21"/>
  <c r="R48" i="21"/>
  <c r="R53" i="21"/>
  <c r="R54" i="21"/>
  <c r="R42" i="21"/>
  <c r="S42" i="21" s="1"/>
  <c r="R43" i="21"/>
  <c r="S53" i="21" s="1"/>
  <c r="R62" i="21"/>
  <c r="R49" i="21"/>
  <c r="R50" i="21"/>
  <c r="R51" i="21"/>
  <c r="R55" i="21"/>
  <c r="R56" i="21"/>
  <c r="R57" i="21"/>
  <c r="R59" i="21"/>
  <c r="R14" i="21"/>
  <c r="R18" i="21"/>
  <c r="R22" i="21"/>
  <c r="R28" i="21"/>
  <c r="R12" i="21"/>
  <c r="R16" i="21"/>
  <c r="R20" i="21"/>
  <c r="R23" i="21"/>
  <c r="R26" i="21"/>
  <c r="J8" i="21"/>
  <c r="J16" i="21"/>
  <c r="J20" i="21"/>
  <c r="S40" i="21"/>
  <c r="S5" i="21"/>
  <c r="AB5" i="21"/>
  <c r="AK5" i="21"/>
  <c r="AB25" i="21"/>
  <c r="AB32" i="21"/>
  <c r="R63" i="21"/>
  <c r="J27" i="21"/>
  <c r="J19" i="21"/>
  <c r="J15" i="21"/>
  <c r="J11" i="21"/>
  <c r="J32" i="21"/>
  <c r="J31" i="21"/>
  <c r="J26" i="21"/>
  <c r="J24" i="21"/>
  <c r="J22" i="21"/>
  <c r="J18" i="21"/>
  <c r="J14" i="21"/>
  <c r="J21" i="21"/>
  <c r="J17" i="21"/>
  <c r="J13" i="21"/>
  <c r="J9" i="21"/>
  <c r="J6" i="21"/>
  <c r="J30" i="21" s="1"/>
  <c r="S6" i="21"/>
  <c r="AB6" i="21"/>
  <c r="AK6" i="21"/>
  <c r="AA8" i="21"/>
  <c r="AB10" i="21" s="1"/>
  <c r="AB12" i="21"/>
  <c r="AB16" i="21"/>
  <c r="AB20" i="21"/>
  <c r="J28" i="21"/>
  <c r="AK64" i="21"/>
  <c r="AJ40" i="21"/>
  <c r="AB27" i="21"/>
  <c r="AB19" i="21"/>
  <c r="AB15" i="21"/>
  <c r="AB11" i="21"/>
  <c r="AB26" i="21"/>
  <c r="AB24" i="21"/>
  <c r="AB22" i="21"/>
  <c r="AB18" i="21"/>
  <c r="AB14" i="21"/>
  <c r="AB21" i="21"/>
  <c r="AB17" i="21"/>
  <c r="AB13" i="21"/>
  <c r="AB9" i="21"/>
  <c r="J12" i="21"/>
  <c r="J23" i="21"/>
  <c r="AB28" i="21"/>
  <c r="AB31" i="21"/>
  <c r="S29" i="21"/>
  <c r="AK29" i="21"/>
  <c r="J7" i="21"/>
  <c r="AB7" i="21"/>
  <c r="AK7" i="21"/>
  <c r="AB8" i="21"/>
  <c r="J10" i="21"/>
  <c r="J25" i="21"/>
  <c r="S64" i="21"/>
  <c r="D20" i="31" l="1"/>
  <c r="C65" i="31"/>
  <c r="C66" i="31"/>
  <c r="D56" i="31"/>
  <c r="D19" i="31" s="1"/>
  <c r="AK24" i="21"/>
  <c r="AK14" i="21"/>
  <c r="AK20" i="21"/>
  <c r="AK17" i="21"/>
  <c r="AK32" i="21"/>
  <c r="AK19" i="21"/>
  <c r="AK31" i="21"/>
  <c r="AK10" i="21"/>
  <c r="AK8" i="21"/>
  <c r="AK11" i="21"/>
  <c r="AK26" i="21"/>
  <c r="AK16" i="21"/>
  <c r="AK12" i="21"/>
  <c r="AK9" i="21"/>
  <c r="AK15" i="21"/>
  <c r="AK27" i="21"/>
  <c r="AK28" i="21"/>
  <c r="AK21" i="21"/>
  <c r="AK18" i="21"/>
  <c r="AK23" i="21"/>
  <c r="AK25" i="21"/>
  <c r="AK22" i="21"/>
  <c r="S60" i="21"/>
  <c r="S59" i="21"/>
  <c r="S61" i="21"/>
  <c r="S56" i="21"/>
  <c r="T56" i="21" s="1"/>
  <c r="S57" i="21"/>
  <c r="S55" i="21"/>
  <c r="S45" i="21"/>
  <c r="S52" i="21"/>
  <c r="T52" i="21" s="1"/>
  <c r="S49" i="21"/>
  <c r="S51" i="21"/>
  <c r="S62" i="21"/>
  <c r="S46" i="21"/>
  <c r="T46" i="21" s="1"/>
  <c r="S48" i="21"/>
  <c r="S63" i="21"/>
  <c r="S47" i="21"/>
  <c r="S58" i="21"/>
  <c r="T58" i="21" s="1"/>
  <c r="S66" i="21"/>
  <c r="S16" i="21"/>
  <c r="S27" i="21"/>
  <c r="T43" i="21"/>
  <c r="S17" i="21"/>
  <c r="S14" i="21"/>
  <c r="S15" i="21"/>
  <c r="T51" i="21"/>
  <c r="T57" i="21"/>
  <c r="S21" i="21"/>
  <c r="S18" i="21"/>
  <c r="S19" i="21"/>
  <c r="T59" i="21"/>
  <c r="S12" i="21"/>
  <c r="S7" i="21"/>
  <c r="S8" i="21"/>
  <c r="S10" i="21"/>
  <c r="S9" i="21"/>
  <c r="T48" i="21"/>
  <c r="S26" i="21"/>
  <c r="T63" i="21"/>
  <c r="S67" i="21"/>
  <c r="T42" i="21"/>
  <c r="T50" i="21"/>
  <c r="S31" i="21"/>
  <c r="T45" i="21"/>
  <c r="T53" i="21"/>
  <c r="T61" i="21"/>
  <c r="S23" i="21"/>
  <c r="S20" i="21"/>
  <c r="T44" i="21"/>
  <c r="T60" i="21"/>
  <c r="S22" i="21"/>
  <c r="S32" i="21"/>
  <c r="T47" i="21"/>
  <c r="T55" i="21"/>
  <c r="S25" i="21"/>
  <c r="S28" i="21"/>
  <c r="T54" i="21"/>
  <c r="T62" i="21"/>
  <c r="S24" i="21"/>
  <c r="T41" i="21"/>
  <c r="T49" i="21"/>
  <c r="AB23" i="21"/>
  <c r="AB30" i="21" s="1"/>
  <c r="AK67" i="21"/>
  <c r="AK62" i="21"/>
  <c r="AL62" i="21" s="1"/>
  <c r="AK60" i="21"/>
  <c r="AL60" i="21" s="1"/>
  <c r="AK58" i="21"/>
  <c r="AL58" i="21" s="1"/>
  <c r="AK56" i="21"/>
  <c r="AL56" i="21" s="1"/>
  <c r="AK54" i="21"/>
  <c r="AL54" i="21" s="1"/>
  <c r="AK52" i="21"/>
  <c r="AL52" i="21" s="1"/>
  <c r="AK50" i="21"/>
  <c r="AL50" i="21" s="1"/>
  <c r="AK48" i="21"/>
  <c r="AL48" i="21" s="1"/>
  <c r="AK46" i="21"/>
  <c r="AL46" i="21" s="1"/>
  <c r="AK44" i="21"/>
  <c r="AL44" i="21" s="1"/>
  <c r="AK42" i="21"/>
  <c r="AL42" i="21" s="1"/>
  <c r="AK40" i="21"/>
  <c r="AK66" i="21"/>
  <c r="AK59" i="21"/>
  <c r="AL59" i="21" s="1"/>
  <c r="AK51" i="21"/>
  <c r="AL51" i="21" s="1"/>
  <c r="AK43" i="21"/>
  <c r="AL43" i="21" s="1"/>
  <c r="AK57" i="21"/>
  <c r="AL57" i="21" s="1"/>
  <c r="AK41" i="21"/>
  <c r="AL41" i="21" s="1"/>
  <c r="AK61" i="21"/>
  <c r="AL61" i="21" s="1"/>
  <c r="AK53" i="21"/>
  <c r="AL53" i="21" s="1"/>
  <c r="AK45" i="21"/>
  <c r="AL45" i="21" s="1"/>
  <c r="AK63" i="21"/>
  <c r="AL63" i="21" s="1"/>
  <c r="AK55" i="21"/>
  <c r="AL55" i="21" s="1"/>
  <c r="AK47" i="21"/>
  <c r="AL47" i="21" s="1"/>
  <c r="AK49" i="21"/>
  <c r="AL49" i="21" s="1"/>
  <c r="T40" i="21"/>
  <c r="AK30" i="21" l="1"/>
  <c r="S30" i="21"/>
  <c r="S65" i="21"/>
  <c r="T65" i="21" s="1"/>
  <c r="AL40" i="21"/>
  <c r="AK65" i="21"/>
  <c r="AL65" i="21" s="1"/>
  <c r="AJ63" i="19" l="1"/>
  <c r="Q63" i="19"/>
  <c r="P63" i="19"/>
  <c r="AJ62" i="19"/>
  <c r="Q62" i="19"/>
  <c r="P62" i="19"/>
  <c r="Q61" i="19"/>
  <c r="P61" i="19"/>
  <c r="AJ60" i="19"/>
  <c r="Q60" i="19"/>
  <c r="P60" i="19"/>
  <c r="AJ59" i="19"/>
  <c r="Q59" i="19"/>
  <c r="P59" i="19"/>
  <c r="AJ58" i="19"/>
  <c r="Q58" i="19"/>
  <c r="P58" i="19"/>
  <c r="Q57" i="19"/>
  <c r="P57" i="19"/>
  <c r="AJ56" i="19"/>
  <c r="Q56" i="19"/>
  <c r="R56" i="19" s="1"/>
  <c r="P56" i="19"/>
  <c r="AJ55" i="19"/>
  <c r="Q55" i="19"/>
  <c r="P55" i="19"/>
  <c r="AJ54" i="19"/>
  <c r="Q54" i="19"/>
  <c r="P54" i="19"/>
  <c r="AJ53" i="19"/>
  <c r="Q53" i="19"/>
  <c r="P53" i="19"/>
  <c r="AJ52" i="19"/>
  <c r="Q52" i="19"/>
  <c r="P52" i="19"/>
  <c r="AJ51" i="19"/>
  <c r="Q51" i="19"/>
  <c r="R51" i="19" s="1"/>
  <c r="P51" i="19"/>
  <c r="AJ50" i="19"/>
  <c r="Q50" i="19"/>
  <c r="P50" i="19"/>
  <c r="AJ49" i="19"/>
  <c r="Q49" i="19"/>
  <c r="R49" i="19" s="1"/>
  <c r="P49" i="19"/>
  <c r="AJ48" i="19"/>
  <c r="Q48" i="19"/>
  <c r="R48" i="19" s="1"/>
  <c r="P48" i="19"/>
  <c r="AJ47" i="19"/>
  <c r="Q47" i="19"/>
  <c r="P47" i="19"/>
  <c r="AJ46" i="19"/>
  <c r="Q46" i="19"/>
  <c r="P46" i="19"/>
  <c r="Q45" i="19"/>
  <c r="P45" i="19"/>
  <c r="AJ44" i="19"/>
  <c r="Q44" i="19"/>
  <c r="P44" i="19"/>
  <c r="AJ43" i="19"/>
  <c r="Q43" i="19"/>
  <c r="R43" i="19" s="1"/>
  <c r="P43" i="19"/>
  <c r="AJ42" i="19"/>
  <c r="Q42" i="19"/>
  <c r="R42" i="19" s="1"/>
  <c r="P42" i="19"/>
  <c r="Q41" i="19"/>
  <c r="R41" i="19" s="1"/>
  <c r="P41" i="19"/>
  <c r="Q40" i="19"/>
  <c r="P40" i="19"/>
  <c r="J29" i="19"/>
  <c r="AL28" i="19"/>
  <c r="AI28" i="19"/>
  <c r="AH28" i="19"/>
  <c r="AJ28" i="19" s="1"/>
  <c r="Z28" i="19"/>
  <c r="Y28" i="19"/>
  <c r="AA28" i="19" s="1"/>
  <c r="Q28" i="19"/>
  <c r="P28" i="19"/>
  <c r="H28" i="19"/>
  <c r="G28" i="19"/>
  <c r="I28" i="19" s="1"/>
  <c r="AL27" i="19"/>
  <c r="AI27" i="19"/>
  <c r="AH27" i="19"/>
  <c r="Z27" i="19"/>
  <c r="Y27" i="19"/>
  <c r="Q27" i="19"/>
  <c r="P27" i="19"/>
  <c r="H27" i="19"/>
  <c r="G27" i="19"/>
  <c r="AL26" i="19"/>
  <c r="AI26" i="19"/>
  <c r="AJ26" i="19" s="1"/>
  <c r="AH26" i="19"/>
  <c r="Z26" i="19"/>
  <c r="AA26" i="19" s="1"/>
  <c r="Y26" i="19"/>
  <c r="Q26" i="19"/>
  <c r="P26" i="19"/>
  <c r="H26" i="19"/>
  <c r="I26" i="19" s="1"/>
  <c r="G26" i="19"/>
  <c r="AL25" i="19"/>
  <c r="AJ25" i="19"/>
  <c r="AI25" i="19"/>
  <c r="AH25" i="19"/>
  <c r="AA25" i="19"/>
  <c r="Z25" i="19"/>
  <c r="Y25" i="19"/>
  <c r="Q25" i="19"/>
  <c r="R25" i="19" s="1"/>
  <c r="P25" i="19"/>
  <c r="I25" i="19"/>
  <c r="H25" i="19"/>
  <c r="G25" i="19"/>
  <c r="AL24" i="19"/>
  <c r="AI24" i="19"/>
  <c r="AJ24" i="19" s="1"/>
  <c r="AH24" i="19"/>
  <c r="Z24" i="19"/>
  <c r="AA24" i="19" s="1"/>
  <c r="Y24" i="19"/>
  <c r="Q24" i="19"/>
  <c r="P24" i="19"/>
  <c r="H24" i="19"/>
  <c r="I24" i="19" s="1"/>
  <c r="G24" i="19"/>
  <c r="AL23" i="19"/>
  <c r="AJ23" i="19"/>
  <c r="AI23" i="19"/>
  <c r="AH23" i="19"/>
  <c r="AA23" i="19"/>
  <c r="Z23" i="19"/>
  <c r="Y23" i="19"/>
  <c r="Q23" i="19"/>
  <c r="P23" i="19"/>
  <c r="R23" i="19" s="1"/>
  <c r="I23" i="19"/>
  <c r="H23" i="19"/>
  <c r="G23" i="19"/>
  <c r="AN22" i="19"/>
  <c r="AN23" i="19" s="1"/>
  <c r="AL22" i="19"/>
  <c r="AI22" i="19"/>
  <c r="AJ22" i="19" s="1"/>
  <c r="AH22" i="19"/>
  <c r="Z22" i="19"/>
  <c r="AA22" i="19" s="1"/>
  <c r="Y22" i="19"/>
  <c r="Q22" i="19"/>
  <c r="P22" i="19"/>
  <c r="H22" i="19"/>
  <c r="I22" i="19" s="1"/>
  <c r="G22" i="19"/>
  <c r="AL21" i="19"/>
  <c r="AJ21" i="19"/>
  <c r="AI21" i="19"/>
  <c r="AH21" i="19"/>
  <c r="AA21" i="19"/>
  <c r="Z21" i="19"/>
  <c r="Y21" i="19"/>
  <c r="Q21" i="19"/>
  <c r="P21" i="19"/>
  <c r="I21" i="19"/>
  <c r="H21" i="19"/>
  <c r="G21" i="19"/>
  <c r="AL20" i="19"/>
  <c r="AJ20" i="19"/>
  <c r="AI20" i="19"/>
  <c r="AH20" i="19"/>
  <c r="AA20" i="19"/>
  <c r="Z20" i="19"/>
  <c r="Y20" i="19"/>
  <c r="Q20" i="19"/>
  <c r="P20" i="19"/>
  <c r="I20" i="19"/>
  <c r="H20" i="19"/>
  <c r="G20" i="19"/>
  <c r="AL19" i="19"/>
  <c r="AI19" i="19"/>
  <c r="AH19" i="19"/>
  <c r="Z19" i="19"/>
  <c r="Y19" i="19"/>
  <c r="Q19" i="19"/>
  <c r="P19" i="19"/>
  <c r="H19" i="19"/>
  <c r="G19" i="19"/>
  <c r="AL18" i="19"/>
  <c r="AI18" i="19"/>
  <c r="AJ18" i="19" s="1"/>
  <c r="AH18" i="19"/>
  <c r="Z18" i="19"/>
  <c r="AA18" i="19" s="1"/>
  <c r="Y18" i="19"/>
  <c r="Q18" i="19"/>
  <c r="P18" i="19"/>
  <c r="H18" i="19"/>
  <c r="I18" i="19" s="1"/>
  <c r="G18" i="19"/>
  <c r="AL17" i="19"/>
  <c r="AJ17" i="19"/>
  <c r="AI17" i="19"/>
  <c r="AH17" i="19"/>
  <c r="AA17" i="19"/>
  <c r="Z17" i="19"/>
  <c r="Y17" i="19"/>
  <c r="Q17" i="19"/>
  <c r="P17" i="19"/>
  <c r="R17" i="19" s="1"/>
  <c r="I17" i="19"/>
  <c r="H17" i="19"/>
  <c r="G17" i="19"/>
  <c r="AL16" i="19"/>
  <c r="AJ16" i="19"/>
  <c r="AI16" i="19"/>
  <c r="AH16" i="19"/>
  <c r="AA16" i="19"/>
  <c r="Z16" i="19"/>
  <c r="Y16" i="19"/>
  <c r="Q16" i="19"/>
  <c r="P16" i="19"/>
  <c r="R16" i="19" s="1"/>
  <c r="I16" i="19"/>
  <c r="H16" i="19"/>
  <c r="G16" i="19"/>
  <c r="AL15" i="19"/>
  <c r="AI15" i="19"/>
  <c r="AH15" i="19"/>
  <c r="Z15" i="19"/>
  <c r="Y15" i="19"/>
  <c r="Q15" i="19"/>
  <c r="P15" i="19"/>
  <c r="H15" i="19"/>
  <c r="G15" i="19"/>
  <c r="AL14" i="19"/>
  <c r="AI14" i="19"/>
  <c r="AJ14" i="19" s="1"/>
  <c r="AH14" i="19"/>
  <c r="Z14" i="19"/>
  <c r="AA14" i="19" s="1"/>
  <c r="Y14" i="19"/>
  <c r="Q14" i="19"/>
  <c r="P14" i="19"/>
  <c r="H14" i="19"/>
  <c r="I14" i="19" s="1"/>
  <c r="G14" i="19"/>
  <c r="AL13" i="19"/>
  <c r="AJ13" i="19"/>
  <c r="AI13" i="19"/>
  <c r="AH13" i="19"/>
  <c r="AA13" i="19"/>
  <c r="Z13" i="19"/>
  <c r="Y13" i="19"/>
  <c r="Q13" i="19"/>
  <c r="P13" i="19"/>
  <c r="I13" i="19"/>
  <c r="H13" i="19"/>
  <c r="G13" i="19"/>
  <c r="AL12" i="19"/>
  <c r="AJ12" i="19"/>
  <c r="AI12" i="19"/>
  <c r="AH12" i="19"/>
  <c r="AA12" i="19"/>
  <c r="Z12" i="19"/>
  <c r="Y12" i="19"/>
  <c r="Q12" i="19"/>
  <c r="P12" i="19"/>
  <c r="I12" i="19"/>
  <c r="H12" i="19"/>
  <c r="G12" i="19"/>
  <c r="AL11" i="19"/>
  <c r="AI11" i="19"/>
  <c r="AH11" i="19"/>
  <c r="Z11" i="19"/>
  <c r="Y11" i="19"/>
  <c r="Q11" i="19"/>
  <c r="P11" i="19"/>
  <c r="H11" i="19"/>
  <c r="G11" i="19"/>
  <c r="AL10" i="19"/>
  <c r="AI10" i="19"/>
  <c r="AJ10" i="19" s="1"/>
  <c r="AH10" i="19"/>
  <c r="Z10" i="19"/>
  <c r="AA10" i="19" s="1"/>
  <c r="Y10" i="19"/>
  <c r="Q10" i="19"/>
  <c r="P10" i="19"/>
  <c r="H10" i="19"/>
  <c r="I10" i="19" s="1"/>
  <c r="G10" i="19"/>
  <c r="AL9" i="19"/>
  <c r="AJ9" i="19"/>
  <c r="AI9" i="19"/>
  <c r="AH9" i="19"/>
  <c r="AA9" i="19"/>
  <c r="Z9" i="19"/>
  <c r="Y9" i="19"/>
  <c r="Q9" i="19"/>
  <c r="P9" i="19"/>
  <c r="R9" i="19" s="1"/>
  <c r="I9" i="19"/>
  <c r="H9" i="19"/>
  <c r="G9" i="19"/>
  <c r="AL8" i="19"/>
  <c r="AJ8" i="19"/>
  <c r="AI8" i="19"/>
  <c r="AH8" i="19"/>
  <c r="AA8" i="19"/>
  <c r="Z8" i="19"/>
  <c r="Y8" i="19"/>
  <c r="Q8" i="19"/>
  <c r="P8" i="19"/>
  <c r="R8" i="19" s="1"/>
  <c r="I8" i="19"/>
  <c r="H8" i="19"/>
  <c r="G8" i="19"/>
  <c r="AL7" i="19"/>
  <c r="AI7" i="19"/>
  <c r="AH7" i="19"/>
  <c r="AJ7" i="19" s="1"/>
  <c r="Z7" i="19"/>
  <c r="Y7" i="19"/>
  <c r="AA7" i="19" s="1"/>
  <c r="Q7" i="19"/>
  <c r="P7" i="19"/>
  <c r="H7" i="19"/>
  <c r="G7" i="19"/>
  <c r="I7" i="19" s="1"/>
  <c r="AL6" i="19"/>
  <c r="AI6" i="19"/>
  <c r="AJ6" i="19" s="1"/>
  <c r="AH6" i="19"/>
  <c r="Z6" i="19"/>
  <c r="AA6" i="19" s="1"/>
  <c r="Y6" i="19"/>
  <c r="Q6" i="19"/>
  <c r="P6" i="19"/>
  <c r="H6" i="19"/>
  <c r="G6" i="19"/>
  <c r="AL5" i="19"/>
  <c r="AJ5" i="19"/>
  <c r="AI5" i="19"/>
  <c r="AH5" i="19"/>
  <c r="Z5" i="19"/>
  <c r="AB29" i="19" s="1"/>
  <c r="Y5" i="19"/>
  <c r="Q5" i="19"/>
  <c r="P5" i="19"/>
  <c r="H5" i="19"/>
  <c r="G5" i="19"/>
  <c r="I5" i="19" s="1"/>
  <c r="AU26" i="16"/>
  <c r="AU19" i="16"/>
  <c r="AU27" i="16" s="1"/>
  <c r="AU18" i="16"/>
  <c r="AU17" i="16"/>
  <c r="AU25" i="16" s="1"/>
  <c r="AU16" i="16"/>
  <c r="AU24" i="16" s="1"/>
  <c r="AU15" i="16"/>
  <c r="AU23" i="16" s="1"/>
  <c r="AO24" i="16"/>
  <c r="AO19" i="16"/>
  <c r="AO27" i="16" s="1"/>
  <c r="AO18" i="16"/>
  <c r="AO26" i="16" s="1"/>
  <c r="AO17" i="16"/>
  <c r="AO25" i="16" s="1"/>
  <c r="AO16" i="16"/>
  <c r="AO15" i="16"/>
  <c r="AO23" i="16" s="1"/>
  <c r="AI26" i="16"/>
  <c r="AI19" i="16"/>
  <c r="AI27" i="16" s="1"/>
  <c r="AI18" i="16"/>
  <c r="AI17" i="16"/>
  <c r="AI25" i="16" s="1"/>
  <c r="AI16" i="16"/>
  <c r="AI24" i="16" s="1"/>
  <c r="AI15" i="16"/>
  <c r="AI23" i="16" s="1"/>
  <c r="AC24" i="16"/>
  <c r="AC19" i="16"/>
  <c r="AC27" i="16" s="1"/>
  <c r="AC18" i="16"/>
  <c r="AC26" i="16" s="1"/>
  <c r="AC17" i="16"/>
  <c r="AC25" i="16" s="1"/>
  <c r="AC16" i="16"/>
  <c r="AC15" i="16"/>
  <c r="AC23" i="16" s="1"/>
  <c r="U24" i="16"/>
  <c r="U25" i="16"/>
  <c r="U26" i="16"/>
  <c r="U27" i="16"/>
  <c r="U23" i="16"/>
  <c r="U16" i="16"/>
  <c r="U17" i="16"/>
  <c r="U18" i="16"/>
  <c r="U19" i="16"/>
  <c r="U15" i="16"/>
  <c r="AU7" i="16"/>
  <c r="AO7" i="16"/>
  <c r="AI7" i="16"/>
  <c r="AC7" i="16"/>
  <c r="U7" i="16"/>
  <c r="AU24" i="14"/>
  <c r="AU19" i="14"/>
  <c r="AU27" i="14" s="1"/>
  <c r="AU18" i="14"/>
  <c r="AU26" i="14" s="1"/>
  <c r="AU17" i="14"/>
  <c r="AU25" i="14" s="1"/>
  <c r="AU16" i="14"/>
  <c r="AU15" i="14"/>
  <c r="AU23" i="14" s="1"/>
  <c r="AO24" i="14"/>
  <c r="AO19" i="14"/>
  <c r="AO27" i="14" s="1"/>
  <c r="AO18" i="14"/>
  <c r="AO26" i="14" s="1"/>
  <c r="AO17" i="14"/>
  <c r="AO25" i="14" s="1"/>
  <c r="AO16" i="14"/>
  <c r="AO15" i="14"/>
  <c r="AO23" i="14" s="1"/>
  <c r="AI24" i="14"/>
  <c r="AI19" i="14"/>
  <c r="AI27" i="14" s="1"/>
  <c r="AI18" i="14"/>
  <c r="AI26" i="14" s="1"/>
  <c r="AI17" i="14"/>
  <c r="AI25" i="14" s="1"/>
  <c r="AI16" i="14"/>
  <c r="AI15" i="14"/>
  <c r="AI23" i="14" s="1"/>
  <c r="AC24" i="14"/>
  <c r="AC19" i="14"/>
  <c r="AC27" i="14" s="1"/>
  <c r="AC18" i="14"/>
  <c r="AC26" i="14" s="1"/>
  <c r="AC17" i="14"/>
  <c r="AC25" i="14" s="1"/>
  <c r="AC16" i="14"/>
  <c r="AC15" i="14"/>
  <c r="AC23" i="14" s="1"/>
  <c r="U24" i="14"/>
  <c r="U25" i="14"/>
  <c r="U26" i="14"/>
  <c r="U27" i="14"/>
  <c r="U23" i="14"/>
  <c r="U16" i="14"/>
  <c r="U17" i="14"/>
  <c r="U18" i="14"/>
  <c r="U19" i="14"/>
  <c r="U15" i="14"/>
  <c r="U7" i="14"/>
  <c r="AC7" i="14"/>
  <c r="AI7" i="14"/>
  <c r="AU7" i="14"/>
  <c r="AO7" i="14"/>
  <c r="AU7" i="15"/>
  <c r="AO7" i="15"/>
  <c r="AI7" i="15"/>
  <c r="AC7" i="15"/>
  <c r="U7" i="15"/>
  <c r="R44" i="19" l="1"/>
  <c r="R60" i="19"/>
  <c r="R7" i="19"/>
  <c r="R12" i="19"/>
  <c r="R13" i="19"/>
  <c r="R20" i="19"/>
  <c r="R21" i="19"/>
  <c r="R5" i="19"/>
  <c r="S6" i="19" s="1"/>
  <c r="R28" i="19"/>
  <c r="R40" i="19"/>
  <c r="S40" i="19" s="1"/>
  <c r="R52" i="19"/>
  <c r="R59" i="19"/>
  <c r="R45" i="19"/>
  <c r="R46" i="19"/>
  <c r="R47" i="19"/>
  <c r="R53" i="19"/>
  <c r="R55" i="19"/>
  <c r="R61" i="19"/>
  <c r="R62" i="19"/>
  <c r="R63" i="19"/>
  <c r="R24" i="19"/>
  <c r="R6" i="19"/>
  <c r="R10" i="19"/>
  <c r="R14" i="19"/>
  <c r="R18" i="19"/>
  <c r="R22" i="19"/>
  <c r="R57" i="19"/>
  <c r="R26" i="19"/>
  <c r="J10" i="19"/>
  <c r="J9" i="19"/>
  <c r="J11" i="19"/>
  <c r="J5" i="19"/>
  <c r="AK26" i="19"/>
  <c r="AK14" i="19"/>
  <c r="AK10" i="19"/>
  <c r="AK6" i="19"/>
  <c r="AK31" i="19"/>
  <c r="AK9" i="19"/>
  <c r="AK5" i="19"/>
  <c r="AK15" i="19"/>
  <c r="AK7" i="19"/>
  <c r="S29" i="19"/>
  <c r="AA5" i="19"/>
  <c r="I11" i="19"/>
  <c r="AA11" i="19"/>
  <c r="I15" i="19"/>
  <c r="J28" i="19" s="1"/>
  <c r="AA15" i="19"/>
  <c r="I19" i="19"/>
  <c r="AA19" i="19"/>
  <c r="R27" i="19"/>
  <c r="AJ27" i="19"/>
  <c r="AJ40" i="19"/>
  <c r="AK64" i="19"/>
  <c r="AJ41" i="19"/>
  <c r="R50" i="19"/>
  <c r="AJ57" i="19"/>
  <c r="AK8" i="19"/>
  <c r="AK12" i="19"/>
  <c r="S64" i="19"/>
  <c r="AJ45" i="19"/>
  <c r="R54" i="19"/>
  <c r="AJ61" i="19"/>
  <c r="AK29" i="19"/>
  <c r="I6" i="19"/>
  <c r="J32" i="19" s="1"/>
  <c r="R11" i="19"/>
  <c r="AJ11" i="19"/>
  <c r="AK24" i="19" s="1"/>
  <c r="R15" i="19"/>
  <c r="AJ15" i="19"/>
  <c r="R19" i="19"/>
  <c r="AJ19" i="19"/>
  <c r="AN24" i="19"/>
  <c r="AN25" i="19" s="1"/>
  <c r="I27" i="19"/>
  <c r="AA27" i="19"/>
  <c r="R58" i="19"/>
  <c r="U7" i="13"/>
  <c r="L24" i="13"/>
  <c r="L23" i="13"/>
  <c r="AU24" i="9"/>
  <c r="AU25" i="9"/>
  <c r="AU26" i="9"/>
  <c r="AU27" i="9"/>
  <c r="AW27" i="9" s="1"/>
  <c r="AU23" i="9"/>
  <c r="AU16" i="9"/>
  <c r="AU17" i="9"/>
  <c r="AU18" i="9"/>
  <c r="AW18" i="9" s="1"/>
  <c r="AU19" i="9"/>
  <c r="AV19" i="9" s="1"/>
  <c r="AU15" i="9"/>
  <c r="AU7" i="9"/>
  <c r="AI24" i="9"/>
  <c r="AI25" i="9"/>
  <c r="AI26" i="9"/>
  <c r="AJ26" i="9" s="1"/>
  <c r="AI27" i="9"/>
  <c r="AK27" i="9" s="1"/>
  <c r="AI23" i="9"/>
  <c r="AI16" i="9"/>
  <c r="AI17" i="9"/>
  <c r="AI18" i="9"/>
  <c r="AI19" i="9"/>
  <c r="AK19" i="9" s="1"/>
  <c r="AI15" i="9"/>
  <c r="AI7" i="9"/>
  <c r="AC24" i="9"/>
  <c r="AC25" i="9"/>
  <c r="AC26" i="9"/>
  <c r="AD26" i="9" s="1"/>
  <c r="AC27" i="9"/>
  <c r="AD27" i="9" s="1"/>
  <c r="AC23" i="9"/>
  <c r="AC16" i="9"/>
  <c r="AC17" i="9"/>
  <c r="AC18" i="9"/>
  <c r="AC19" i="9"/>
  <c r="AE19" i="9" s="1"/>
  <c r="AC15" i="9"/>
  <c r="AC7" i="9"/>
  <c r="U24" i="9"/>
  <c r="U25" i="9"/>
  <c r="U26" i="9"/>
  <c r="U27" i="9"/>
  <c r="W27" i="9" s="1"/>
  <c r="U23" i="9"/>
  <c r="U17" i="9"/>
  <c r="U18" i="9"/>
  <c r="U19" i="9"/>
  <c r="W19" i="9" s="1"/>
  <c r="U16" i="9"/>
  <c r="U15" i="9"/>
  <c r="L23" i="9"/>
  <c r="L17" i="9"/>
  <c r="U7" i="9"/>
  <c r="AI7" i="17"/>
  <c r="L16" i="17"/>
  <c r="L17" i="17"/>
  <c r="L18" i="17"/>
  <c r="L19" i="17"/>
  <c r="N19" i="17" s="1"/>
  <c r="N27" i="17" s="1"/>
  <c r="L15" i="17"/>
  <c r="L15" i="16"/>
  <c r="L24" i="14"/>
  <c r="L27" i="14"/>
  <c r="L16" i="15"/>
  <c r="L17" i="15"/>
  <c r="L18" i="15"/>
  <c r="L19" i="15"/>
  <c r="F49" i="15" s="1"/>
  <c r="H49" i="15" s="1"/>
  <c r="L15" i="15"/>
  <c r="L15" i="14"/>
  <c r="B49" i="17"/>
  <c r="B48" i="17"/>
  <c r="B47" i="17"/>
  <c r="B46" i="17"/>
  <c r="B45" i="17"/>
  <c r="K44" i="17" s="1"/>
  <c r="AO32" i="17"/>
  <c r="AC32" i="17"/>
  <c r="AP31" i="17"/>
  <c r="C31" i="17"/>
  <c r="E27" i="17"/>
  <c r="E26" i="17"/>
  <c r="E25" i="17"/>
  <c r="E24" i="17"/>
  <c r="E23" i="17"/>
  <c r="Q19" i="17"/>
  <c r="E19" i="17"/>
  <c r="Q18" i="17"/>
  <c r="E18" i="17"/>
  <c r="Q17" i="17"/>
  <c r="E17" i="17"/>
  <c r="Q16" i="17"/>
  <c r="N16" i="17"/>
  <c r="E16" i="17"/>
  <c r="N15" i="17"/>
  <c r="N23" i="17" s="1"/>
  <c r="E15" i="17"/>
  <c r="BB13" i="17"/>
  <c r="BB15" i="17" s="1"/>
  <c r="BB17" i="17" s="1"/>
  <c r="N8" i="17"/>
  <c r="E8" i="17"/>
  <c r="AK7" i="17"/>
  <c r="AJ7" i="17"/>
  <c r="AC7" i="17"/>
  <c r="AC34" i="17" s="1"/>
  <c r="N7" i="17"/>
  <c r="E7" i="17"/>
  <c r="N6" i="17"/>
  <c r="E6" i="17"/>
  <c r="AW5" i="17"/>
  <c r="AU5" i="17"/>
  <c r="AQ5" i="17"/>
  <c r="AO5" i="17"/>
  <c r="AJ5" i="17"/>
  <c r="AI5" i="17"/>
  <c r="AJ32" i="17" s="1"/>
  <c r="AC5" i="17"/>
  <c r="W5" i="17"/>
  <c r="U5" i="17"/>
  <c r="N5" i="17"/>
  <c r="E5" i="17"/>
  <c r="AU4" i="17"/>
  <c r="AV4" i="17" s="1"/>
  <c r="AP4" i="17"/>
  <c r="AO4" i="17"/>
  <c r="AP5" i="17" s="1"/>
  <c r="AI4" i="17"/>
  <c r="AJ31" i="17" s="1"/>
  <c r="AD4" i="17"/>
  <c r="AC4" i="17"/>
  <c r="U4" i="17"/>
  <c r="V33" i="17" s="1"/>
  <c r="N4" i="17"/>
  <c r="E4" i="17"/>
  <c r="B49" i="16"/>
  <c r="B48" i="16"/>
  <c r="B47" i="16"/>
  <c r="B46" i="16"/>
  <c r="B45" i="16"/>
  <c r="K44" i="16"/>
  <c r="AV31" i="16"/>
  <c r="D31" i="16"/>
  <c r="C31" i="16"/>
  <c r="C32" i="16" s="1"/>
  <c r="AW27" i="16"/>
  <c r="AV27" i="16"/>
  <c r="AK27" i="16"/>
  <c r="AJ27" i="16"/>
  <c r="AE27" i="16"/>
  <c r="AD27" i="16"/>
  <c r="W27" i="16"/>
  <c r="V27" i="16"/>
  <c r="E27" i="16"/>
  <c r="AW26" i="16"/>
  <c r="AV26" i="16"/>
  <c r="AK26" i="16"/>
  <c r="AJ26" i="16"/>
  <c r="AE26" i="16"/>
  <c r="AD26" i="16"/>
  <c r="W26" i="16"/>
  <c r="V26" i="16"/>
  <c r="E26" i="16"/>
  <c r="AW25" i="16"/>
  <c r="AV25" i="16"/>
  <c r="AK25" i="16"/>
  <c r="AJ25" i="16"/>
  <c r="AE25" i="16"/>
  <c r="AD25" i="16"/>
  <c r="W25" i="16"/>
  <c r="V25" i="16"/>
  <c r="E25" i="16"/>
  <c r="AW24" i="16"/>
  <c r="AV24" i="16"/>
  <c r="AK24" i="16"/>
  <c r="AJ24" i="16"/>
  <c r="AE24" i="16"/>
  <c r="AD24" i="16"/>
  <c r="W24" i="16"/>
  <c r="V24" i="16"/>
  <c r="E24" i="16"/>
  <c r="AW23" i="16"/>
  <c r="AV23" i="16"/>
  <c r="AK23" i="16"/>
  <c r="AJ23" i="16"/>
  <c r="AE23" i="16"/>
  <c r="AD23" i="16"/>
  <c r="W23" i="16"/>
  <c r="V23" i="16"/>
  <c r="E23" i="16"/>
  <c r="AW19" i="16"/>
  <c r="AV19" i="16"/>
  <c r="AK19" i="16"/>
  <c r="AJ19" i="16"/>
  <c r="AE19" i="16"/>
  <c r="AD19" i="16"/>
  <c r="W19" i="16"/>
  <c r="V19" i="16"/>
  <c r="Q19" i="16"/>
  <c r="E19" i="16"/>
  <c r="AW18" i="16"/>
  <c r="AV18" i="16"/>
  <c r="AK18" i="16"/>
  <c r="AJ18" i="16"/>
  <c r="AE18" i="16"/>
  <c r="AD18" i="16"/>
  <c r="W18" i="16"/>
  <c r="V18" i="16"/>
  <c r="Q18" i="16"/>
  <c r="E18" i="16"/>
  <c r="AW17" i="16"/>
  <c r="AV17" i="16"/>
  <c r="AK17" i="16"/>
  <c r="AJ17" i="16"/>
  <c r="AE17" i="16"/>
  <c r="AD17" i="16"/>
  <c r="W17" i="16"/>
  <c r="V17" i="16"/>
  <c r="Q17" i="16"/>
  <c r="E17" i="16"/>
  <c r="AW16" i="16"/>
  <c r="AV16" i="16"/>
  <c r="AK16" i="16"/>
  <c r="AJ16" i="16"/>
  <c r="AE16" i="16"/>
  <c r="AD16" i="16"/>
  <c r="W16" i="16"/>
  <c r="V16" i="16"/>
  <c r="Q16" i="16"/>
  <c r="E16" i="16"/>
  <c r="AW15" i="16"/>
  <c r="AV15" i="16"/>
  <c r="AP15" i="16"/>
  <c r="AK15" i="16"/>
  <c r="AJ15" i="16"/>
  <c r="AE15" i="16"/>
  <c r="AD15" i="16"/>
  <c r="W15" i="16"/>
  <c r="V15" i="16"/>
  <c r="N15" i="16"/>
  <c r="N23" i="16" s="1"/>
  <c r="E15" i="16"/>
  <c r="AV14" i="16"/>
  <c r="AP14" i="16"/>
  <c r="AJ14" i="16"/>
  <c r="AD14" i="16"/>
  <c r="V14" i="16"/>
  <c r="N8" i="16"/>
  <c r="E8" i="16"/>
  <c r="N7" i="16"/>
  <c r="E7" i="16"/>
  <c r="AC6" i="16"/>
  <c r="N6" i="16"/>
  <c r="E6" i="16"/>
  <c r="AU5" i="16"/>
  <c r="AO5" i="16"/>
  <c r="AO32" i="16" s="1"/>
  <c r="AI5" i="16"/>
  <c r="AC5" i="16"/>
  <c r="U5" i="16"/>
  <c r="N5" i="16"/>
  <c r="E5" i="16"/>
  <c r="AU4" i="16"/>
  <c r="AO4" i="16"/>
  <c r="AI4" i="16"/>
  <c r="AC4" i="16"/>
  <c r="AD5" i="16" s="1"/>
  <c r="U4" i="16"/>
  <c r="N4" i="16"/>
  <c r="E4" i="16"/>
  <c r="B49" i="15"/>
  <c r="B48" i="15"/>
  <c r="B47" i="15"/>
  <c r="B46" i="15"/>
  <c r="B45" i="15"/>
  <c r="K44" i="15" s="1"/>
  <c r="C31" i="15" s="1"/>
  <c r="E27" i="15"/>
  <c r="E26" i="15"/>
  <c r="E25" i="15"/>
  <c r="E24" i="15"/>
  <c r="E23" i="15"/>
  <c r="Q19" i="15"/>
  <c r="N19" i="15"/>
  <c r="N27" i="15" s="1"/>
  <c r="E19" i="15"/>
  <c r="Q18" i="15"/>
  <c r="N18" i="15"/>
  <c r="N26" i="15" s="1"/>
  <c r="E18" i="15"/>
  <c r="Q17" i="15"/>
  <c r="N17" i="15"/>
  <c r="N25" i="15" s="1"/>
  <c r="F48" i="15"/>
  <c r="H48" i="15" s="1"/>
  <c r="E17" i="15"/>
  <c r="Q16" i="15"/>
  <c r="N16" i="15"/>
  <c r="N24" i="15" s="1"/>
  <c r="F47" i="15"/>
  <c r="H47" i="15" s="1"/>
  <c r="E16" i="15"/>
  <c r="N15" i="15"/>
  <c r="N23" i="15" s="1"/>
  <c r="E15" i="15"/>
  <c r="BB13" i="15"/>
  <c r="BB15" i="15" s="1"/>
  <c r="BB17" i="15" s="1"/>
  <c r="N8" i="15"/>
  <c r="E8" i="15"/>
  <c r="AO34" i="15"/>
  <c r="AK7" i="15"/>
  <c r="AJ7" i="15"/>
  <c r="AI34" i="15"/>
  <c r="AC34" i="15"/>
  <c r="U36" i="15"/>
  <c r="N7" i="15"/>
  <c r="E7" i="15"/>
  <c r="N6" i="15"/>
  <c r="E6" i="15"/>
  <c r="AW5" i="15"/>
  <c r="AV5" i="15"/>
  <c r="AU5" i="15"/>
  <c r="AO5" i="15"/>
  <c r="AP32" i="15" s="1"/>
  <c r="AI5" i="15"/>
  <c r="AJ32" i="15" s="1"/>
  <c r="AC5" i="15"/>
  <c r="W5" i="15"/>
  <c r="V5" i="15"/>
  <c r="U5" i="15"/>
  <c r="N5" i="15"/>
  <c r="E5" i="15"/>
  <c r="AV4" i="15"/>
  <c r="AU4" i="15"/>
  <c r="AV31" i="15" s="1"/>
  <c r="AO4" i="15"/>
  <c r="AP5" i="15" s="1"/>
  <c r="AJ4" i="15"/>
  <c r="AI4" i="15"/>
  <c r="AJ31" i="15" s="1"/>
  <c r="AC4" i="15"/>
  <c r="V4" i="15"/>
  <c r="U4" i="15"/>
  <c r="V33" i="15" s="1"/>
  <c r="N4" i="15"/>
  <c r="E4" i="15"/>
  <c r="B49" i="14"/>
  <c r="B48" i="14"/>
  <c r="B47" i="14"/>
  <c r="B46" i="14"/>
  <c r="B45" i="14"/>
  <c r="K44" i="14" s="1"/>
  <c r="C31" i="14" s="1"/>
  <c r="AW27" i="14"/>
  <c r="AV27" i="14"/>
  <c r="AK27" i="14"/>
  <c r="AJ27" i="14"/>
  <c r="AE27" i="14"/>
  <c r="AD27" i="14"/>
  <c r="W27" i="14"/>
  <c r="V27" i="14"/>
  <c r="E27" i="14"/>
  <c r="AW26" i="14"/>
  <c r="AV26" i="14"/>
  <c r="AK26" i="14"/>
  <c r="AJ26" i="14"/>
  <c r="AE26" i="14"/>
  <c r="AD26" i="14"/>
  <c r="W26" i="14"/>
  <c r="V26" i="14"/>
  <c r="E26" i="14"/>
  <c r="AW25" i="14"/>
  <c r="AV25" i="14"/>
  <c r="AK25" i="14"/>
  <c r="AJ25" i="14"/>
  <c r="AE25" i="14"/>
  <c r="AD25" i="14"/>
  <c r="W25" i="14"/>
  <c r="V25" i="14"/>
  <c r="E25" i="14"/>
  <c r="AW24" i="14"/>
  <c r="AV24" i="14"/>
  <c r="AK24" i="14"/>
  <c r="AJ24" i="14"/>
  <c r="AE24" i="14"/>
  <c r="AD24" i="14"/>
  <c r="W24" i="14"/>
  <c r="V24" i="14"/>
  <c r="E24" i="14"/>
  <c r="AW23" i="14"/>
  <c r="AV23" i="14"/>
  <c r="AK23" i="14"/>
  <c r="AJ23" i="14"/>
  <c r="AE23" i="14"/>
  <c r="AD23" i="14"/>
  <c r="W23" i="14"/>
  <c r="V23" i="14"/>
  <c r="E23" i="14"/>
  <c r="AW19" i="14"/>
  <c r="AV19" i="14"/>
  <c r="AK19" i="14"/>
  <c r="AJ19" i="14"/>
  <c r="AE19" i="14"/>
  <c r="AD19" i="14"/>
  <c r="W19" i="14"/>
  <c r="V19" i="14"/>
  <c r="Q19" i="14"/>
  <c r="E19" i="14"/>
  <c r="AW18" i="14"/>
  <c r="AV18" i="14"/>
  <c r="AP18" i="14"/>
  <c r="AK18" i="14"/>
  <c r="AJ18" i="14"/>
  <c r="AE18" i="14"/>
  <c r="AD18" i="14"/>
  <c r="W18" i="14"/>
  <c r="V18" i="14"/>
  <c r="Q18" i="14"/>
  <c r="E18" i="14"/>
  <c r="AW17" i="14"/>
  <c r="AV17" i="14"/>
  <c r="AK17" i="14"/>
  <c r="AJ17" i="14"/>
  <c r="AE17" i="14"/>
  <c r="AD17" i="14"/>
  <c r="W17" i="14"/>
  <c r="V17" i="14"/>
  <c r="Q17" i="14"/>
  <c r="E17" i="14"/>
  <c r="AW16" i="14"/>
  <c r="AV16" i="14"/>
  <c r="AK16" i="14"/>
  <c r="AJ16" i="14"/>
  <c r="AE16" i="14"/>
  <c r="AD16" i="14"/>
  <c r="W16" i="14"/>
  <c r="V16" i="14"/>
  <c r="Q16" i="14"/>
  <c r="E16" i="14"/>
  <c r="AW15" i="14"/>
  <c r="AV15" i="14"/>
  <c r="AP15" i="14"/>
  <c r="AK15" i="14"/>
  <c r="AJ15" i="14"/>
  <c r="AE15" i="14"/>
  <c r="AD15" i="14"/>
  <c r="W15" i="14"/>
  <c r="V15" i="14"/>
  <c r="N15" i="14"/>
  <c r="N23" i="14" s="1"/>
  <c r="E15" i="14"/>
  <c r="AV14" i="14"/>
  <c r="AP14" i="14"/>
  <c r="AJ14" i="14"/>
  <c r="AD14" i="14"/>
  <c r="V14" i="14"/>
  <c r="N8" i="14"/>
  <c r="E8" i="14"/>
  <c r="AC34" i="14"/>
  <c r="N7" i="14"/>
  <c r="E7" i="14"/>
  <c r="N6" i="14"/>
  <c r="E6" i="14"/>
  <c r="AW5" i="14"/>
  <c r="AU5" i="14"/>
  <c r="AQ5" i="14"/>
  <c r="AP5" i="14"/>
  <c r="AO5" i="14"/>
  <c r="AJ5" i="14"/>
  <c r="AI5" i="14"/>
  <c r="AC5" i="14"/>
  <c r="W5" i="14"/>
  <c r="V5" i="14"/>
  <c r="U5" i="14"/>
  <c r="N5" i="14"/>
  <c r="E5" i="14"/>
  <c r="AV4" i="14"/>
  <c r="AU4" i="14"/>
  <c r="AV31" i="14" s="1"/>
  <c r="AP4" i="14"/>
  <c r="AO4" i="14"/>
  <c r="AJ4" i="14"/>
  <c r="AI4" i="14"/>
  <c r="AJ31" i="14" s="1"/>
  <c r="AD4" i="14"/>
  <c r="AC4" i="14"/>
  <c r="V4" i="14"/>
  <c r="U4" i="14"/>
  <c r="V33" i="14" s="1"/>
  <c r="N4" i="14"/>
  <c r="E4" i="14"/>
  <c r="L16" i="13"/>
  <c r="L17" i="13"/>
  <c r="L18" i="13"/>
  <c r="L19" i="13"/>
  <c r="L15" i="9"/>
  <c r="N15" i="9" s="1"/>
  <c r="N23" i="9" s="1"/>
  <c r="L15" i="13"/>
  <c r="N15" i="13" s="1"/>
  <c r="N23" i="13" s="1"/>
  <c r="B49" i="13"/>
  <c r="B48" i="13"/>
  <c r="B47" i="13"/>
  <c r="B46" i="13"/>
  <c r="B45" i="13"/>
  <c r="K44" i="13" s="1"/>
  <c r="C31" i="13" s="1"/>
  <c r="E27" i="13"/>
  <c r="E26" i="13"/>
  <c r="E25" i="13"/>
  <c r="E24" i="13"/>
  <c r="E23" i="13"/>
  <c r="Q19" i="13"/>
  <c r="E19" i="13"/>
  <c r="Q18" i="13"/>
  <c r="E18" i="13"/>
  <c r="Q17" i="13"/>
  <c r="E17" i="13"/>
  <c r="Q16" i="13"/>
  <c r="E16" i="13"/>
  <c r="E15" i="13"/>
  <c r="N8" i="13"/>
  <c r="E8" i="13"/>
  <c r="AC7" i="13"/>
  <c r="AC34" i="13" s="1"/>
  <c r="N7" i="13"/>
  <c r="E7" i="13"/>
  <c r="N6" i="13"/>
  <c r="E6" i="13"/>
  <c r="AW5" i="13"/>
  <c r="AV5" i="13"/>
  <c r="AU5" i="13"/>
  <c r="AO5" i="13"/>
  <c r="AI5" i="13"/>
  <c r="AC5" i="13"/>
  <c r="AE5" i="13" s="1"/>
  <c r="W5" i="13"/>
  <c r="V5" i="13"/>
  <c r="U5" i="13"/>
  <c r="N5" i="13"/>
  <c r="E5" i="13"/>
  <c r="AV4" i="13"/>
  <c r="AU4" i="13"/>
  <c r="AV31" i="13" s="1"/>
  <c r="AO4" i="13"/>
  <c r="AQ5" i="13" s="1"/>
  <c r="AJ4" i="13"/>
  <c r="AI4" i="13"/>
  <c r="AJ31" i="13" s="1"/>
  <c r="AC4" i="13"/>
  <c r="AD31" i="13" s="1"/>
  <c r="V4" i="13"/>
  <c r="U4" i="13"/>
  <c r="V33" i="13" s="1"/>
  <c r="N4" i="13"/>
  <c r="E4" i="13"/>
  <c r="Q17" i="9"/>
  <c r="Q18" i="9"/>
  <c r="Q19" i="9"/>
  <c r="Q16" i="9"/>
  <c r="C43" i="4"/>
  <c r="L67" i="4"/>
  <c r="K67" i="4"/>
  <c r="J67" i="4"/>
  <c r="I67" i="4"/>
  <c r="H67" i="4"/>
  <c r="G67" i="4"/>
  <c r="F67" i="4"/>
  <c r="E67" i="4"/>
  <c r="D67" i="4"/>
  <c r="C67" i="4"/>
  <c r="K66" i="4"/>
  <c r="G66" i="4"/>
  <c r="C66" i="4"/>
  <c r="L65" i="4"/>
  <c r="K65" i="4"/>
  <c r="J65" i="4"/>
  <c r="I65" i="4"/>
  <c r="H65" i="4"/>
  <c r="G65" i="4"/>
  <c r="F65" i="4"/>
  <c r="E65" i="4"/>
  <c r="D65" i="4"/>
  <c r="C65" i="4"/>
  <c r="L64" i="4"/>
  <c r="K64" i="4"/>
  <c r="J64" i="4"/>
  <c r="I64" i="4"/>
  <c r="H64" i="4"/>
  <c r="G64" i="4"/>
  <c r="F64" i="4"/>
  <c r="E64" i="4"/>
  <c r="D64" i="4"/>
  <c r="C64" i="4"/>
  <c r="L63" i="4"/>
  <c r="L66" i="4" s="1"/>
  <c r="K63" i="4"/>
  <c r="J63" i="4"/>
  <c r="J66" i="4" s="1"/>
  <c r="I63" i="4"/>
  <c r="I66" i="4" s="1"/>
  <c r="H63" i="4"/>
  <c r="H66" i="4" s="1"/>
  <c r="G63" i="4"/>
  <c r="F63" i="4"/>
  <c r="F66" i="4" s="1"/>
  <c r="E63" i="4"/>
  <c r="E66" i="4" s="1"/>
  <c r="D63" i="4"/>
  <c r="D66" i="4" s="1"/>
  <c r="C63" i="4"/>
  <c r="L62" i="4"/>
  <c r="K62" i="4"/>
  <c r="J62" i="4"/>
  <c r="I62" i="4"/>
  <c r="H62" i="4"/>
  <c r="G62" i="4"/>
  <c r="F62" i="4"/>
  <c r="E62" i="4"/>
  <c r="D62" i="4"/>
  <c r="C62" i="4"/>
  <c r="H61" i="4"/>
  <c r="C61" i="4"/>
  <c r="L57" i="4"/>
  <c r="K57" i="4"/>
  <c r="J57" i="4"/>
  <c r="I57" i="4"/>
  <c r="H57" i="4"/>
  <c r="G57" i="4"/>
  <c r="F57" i="4"/>
  <c r="E57" i="4"/>
  <c r="D57" i="4"/>
  <c r="C57" i="4"/>
  <c r="L56" i="4"/>
  <c r="K56" i="4"/>
  <c r="H56" i="4"/>
  <c r="G56" i="4"/>
  <c r="D56" i="4"/>
  <c r="C56" i="4"/>
  <c r="L55" i="4"/>
  <c r="K55" i="4"/>
  <c r="J55" i="4"/>
  <c r="I55" i="4"/>
  <c r="H55" i="4"/>
  <c r="G55" i="4"/>
  <c r="F55" i="4"/>
  <c r="E55" i="4"/>
  <c r="D55" i="4"/>
  <c r="C55" i="4"/>
  <c r="L54" i="4"/>
  <c r="K54" i="4"/>
  <c r="J54" i="4"/>
  <c r="I54" i="4"/>
  <c r="H54" i="4"/>
  <c r="G54" i="4"/>
  <c r="F54" i="4"/>
  <c r="E54" i="4"/>
  <c r="D54" i="4"/>
  <c r="C54" i="4"/>
  <c r="L53" i="4"/>
  <c r="K53" i="4"/>
  <c r="J53" i="4"/>
  <c r="J56" i="4" s="1"/>
  <c r="I53" i="4"/>
  <c r="I56" i="4" s="1"/>
  <c r="H53" i="4"/>
  <c r="G53" i="4"/>
  <c r="F53" i="4"/>
  <c r="F56" i="4" s="1"/>
  <c r="E53" i="4"/>
  <c r="E56" i="4" s="1"/>
  <c r="D53" i="4"/>
  <c r="C53" i="4"/>
  <c r="L52" i="4"/>
  <c r="K52" i="4"/>
  <c r="J52" i="4"/>
  <c r="I52" i="4"/>
  <c r="H52" i="4"/>
  <c r="G52" i="4"/>
  <c r="F52" i="4"/>
  <c r="E52" i="4"/>
  <c r="D52" i="4"/>
  <c r="C52" i="4"/>
  <c r="H51" i="4"/>
  <c r="C51" i="4"/>
  <c r="D56" i="12"/>
  <c r="E55" i="12"/>
  <c r="G54" i="12"/>
  <c r="F54" i="12"/>
  <c r="C54" i="12"/>
  <c r="G53" i="12"/>
  <c r="E53" i="12"/>
  <c r="D53" i="12"/>
  <c r="C53" i="12"/>
  <c r="F52" i="12"/>
  <c r="E52" i="12"/>
  <c r="D52" i="12"/>
  <c r="G51" i="12"/>
  <c r="G56" i="12" s="1"/>
  <c r="F51" i="12"/>
  <c r="F56" i="12" s="1"/>
  <c r="E51" i="12"/>
  <c r="E56" i="12" s="1"/>
  <c r="D51" i="12"/>
  <c r="C51" i="12"/>
  <c r="C56" i="12" s="1"/>
  <c r="G50" i="12"/>
  <c r="G55" i="12" s="1"/>
  <c r="F50" i="12"/>
  <c r="F55" i="12" s="1"/>
  <c r="E50" i="12"/>
  <c r="D50" i="12"/>
  <c r="D55" i="12" s="1"/>
  <c r="C50" i="12"/>
  <c r="C55" i="12" s="1"/>
  <c r="K49" i="12"/>
  <c r="G49" i="12"/>
  <c r="F49" i="12"/>
  <c r="E49" i="12"/>
  <c r="E54" i="12" s="1"/>
  <c r="D49" i="12"/>
  <c r="C49" i="12"/>
  <c r="K48" i="12"/>
  <c r="G48" i="12"/>
  <c r="F48" i="12"/>
  <c r="F53" i="12" s="1"/>
  <c r="E48" i="12"/>
  <c r="D48" i="12"/>
  <c r="G47" i="12"/>
  <c r="G52" i="12" s="1"/>
  <c r="F47" i="12"/>
  <c r="E47" i="12"/>
  <c r="D47" i="12"/>
  <c r="C47" i="12"/>
  <c r="C52" i="12" s="1"/>
  <c r="L45" i="12"/>
  <c r="L44" i="12"/>
  <c r="L43" i="12"/>
  <c r="L42" i="12"/>
  <c r="N36" i="12"/>
  <c r="T36" i="12" s="1"/>
  <c r="M36" i="12"/>
  <c r="S36" i="12" s="1"/>
  <c r="L36" i="12"/>
  <c r="R36" i="12" s="1"/>
  <c r="J36" i="12"/>
  <c r="P36" i="12" s="1"/>
  <c r="K35" i="12"/>
  <c r="Q35" i="12" s="1"/>
  <c r="R34" i="12"/>
  <c r="N34" i="12"/>
  <c r="T34" i="12" s="1"/>
  <c r="M34" i="12"/>
  <c r="S34" i="12" s="1"/>
  <c r="L34" i="12"/>
  <c r="J34" i="12"/>
  <c r="P34" i="12" s="1"/>
  <c r="T33" i="12"/>
  <c r="P33" i="12"/>
  <c r="N33" i="12"/>
  <c r="L33" i="12"/>
  <c r="R33" i="12" s="1"/>
  <c r="K33" i="12"/>
  <c r="Q33" i="12" s="1"/>
  <c r="J33" i="12"/>
  <c r="M32" i="12"/>
  <c r="L32" i="12"/>
  <c r="K32" i="12"/>
  <c r="S31" i="12"/>
  <c r="N31" i="12"/>
  <c r="T31" i="12" s="1"/>
  <c r="M31" i="12"/>
  <c r="K31" i="12"/>
  <c r="Q31" i="12" s="1"/>
  <c r="J31" i="12"/>
  <c r="P31" i="12" s="1"/>
  <c r="Q30" i="12"/>
  <c r="M30" i="12"/>
  <c r="S30" i="12" s="1"/>
  <c r="L30" i="12"/>
  <c r="R30" i="12" s="1"/>
  <c r="K30" i="12"/>
  <c r="S29" i="12"/>
  <c r="N29" i="12"/>
  <c r="T29" i="12" s="1"/>
  <c r="M29" i="12"/>
  <c r="K29" i="12"/>
  <c r="Q29" i="12" s="1"/>
  <c r="J29" i="12"/>
  <c r="P29" i="12" s="1"/>
  <c r="Q28" i="12"/>
  <c r="M28" i="12"/>
  <c r="S28" i="12" s="1"/>
  <c r="L28" i="12"/>
  <c r="R28" i="12" s="1"/>
  <c r="K28" i="12"/>
  <c r="S27" i="12"/>
  <c r="N27" i="12"/>
  <c r="T27" i="12" s="1"/>
  <c r="M27" i="12"/>
  <c r="K27" i="12"/>
  <c r="Q27" i="12" s="1"/>
  <c r="J27" i="12"/>
  <c r="P27" i="12" s="1"/>
  <c r="Q26" i="12"/>
  <c r="M26" i="12"/>
  <c r="S26" i="12" s="1"/>
  <c r="L26" i="12"/>
  <c r="L35" i="12" s="1"/>
  <c r="R35" i="12" s="1"/>
  <c r="K26" i="12"/>
  <c r="S25" i="12"/>
  <c r="N25" i="12"/>
  <c r="T25" i="12" s="1"/>
  <c r="M25" i="12"/>
  <c r="K25" i="12"/>
  <c r="Q25" i="12" s="1"/>
  <c r="J25" i="12"/>
  <c r="P25" i="12" s="1"/>
  <c r="Q24" i="12"/>
  <c r="M24" i="12"/>
  <c r="S24" i="12" s="1"/>
  <c r="L24" i="12"/>
  <c r="R24" i="12" s="1"/>
  <c r="K24" i="12"/>
  <c r="S23" i="12"/>
  <c r="N23" i="12"/>
  <c r="T23" i="12" s="1"/>
  <c r="M23" i="12"/>
  <c r="K23" i="12"/>
  <c r="Q23" i="12" s="1"/>
  <c r="J23" i="12"/>
  <c r="P23" i="12" s="1"/>
  <c r="T22" i="12"/>
  <c r="S22" i="12"/>
  <c r="R22" i="12"/>
  <c r="Q22" i="12"/>
  <c r="P22" i="12"/>
  <c r="J22" i="12"/>
  <c r="K36" i="12" s="1"/>
  <c r="Q36" i="12" s="1"/>
  <c r="D18" i="12"/>
  <c r="C5" i="12"/>
  <c r="B49" i="9"/>
  <c r="B48" i="9"/>
  <c r="B47" i="9"/>
  <c r="B46" i="9"/>
  <c r="B45" i="9"/>
  <c r="K44" i="9"/>
  <c r="C31" i="9"/>
  <c r="C32" i="9" s="1"/>
  <c r="AE27" i="9"/>
  <c r="V27" i="9"/>
  <c r="E27" i="9"/>
  <c r="AW26" i="9"/>
  <c r="AV26" i="9"/>
  <c r="AK26" i="9"/>
  <c r="AE26" i="9"/>
  <c r="W26" i="9"/>
  <c r="V26" i="9"/>
  <c r="E26" i="9"/>
  <c r="AW25" i="9"/>
  <c r="AV25" i="9"/>
  <c r="AK25" i="9"/>
  <c r="AJ25" i="9"/>
  <c r="AE25" i="9"/>
  <c r="AD25" i="9"/>
  <c r="W25" i="9"/>
  <c r="V25" i="9"/>
  <c r="E25" i="9"/>
  <c r="AW24" i="9"/>
  <c r="AV24" i="9"/>
  <c r="AK24" i="9"/>
  <c r="AJ24" i="9"/>
  <c r="AE24" i="9"/>
  <c r="AD24" i="9"/>
  <c r="W24" i="9"/>
  <c r="V24" i="9"/>
  <c r="E24" i="9"/>
  <c r="AW23" i="9"/>
  <c r="AV23" i="9"/>
  <c r="AK23" i="9"/>
  <c r="AJ23" i="9"/>
  <c r="AE23" i="9"/>
  <c r="AD23" i="9"/>
  <c r="W23" i="9"/>
  <c r="V23" i="9"/>
  <c r="E23" i="9"/>
  <c r="AW19" i="9"/>
  <c r="AD19" i="9"/>
  <c r="V19" i="9"/>
  <c r="E19" i="9"/>
  <c r="AP18" i="9"/>
  <c r="AO18" i="9"/>
  <c r="AQ18" i="9" s="1"/>
  <c r="AK18" i="9"/>
  <c r="AJ18" i="9"/>
  <c r="AE18" i="9"/>
  <c r="AD18" i="9"/>
  <c r="W18" i="9"/>
  <c r="V18" i="9"/>
  <c r="E18" i="9"/>
  <c r="AW17" i="9"/>
  <c r="AV17" i="9"/>
  <c r="AK17" i="9"/>
  <c r="AJ17" i="9"/>
  <c r="AE17" i="9"/>
  <c r="AD17" i="9"/>
  <c r="W17" i="9"/>
  <c r="V17" i="9"/>
  <c r="E17" i="9"/>
  <c r="AW16" i="9"/>
  <c r="AV16" i="9"/>
  <c r="AK16" i="9"/>
  <c r="AJ16" i="9"/>
  <c r="AE16" i="9"/>
  <c r="AD16" i="9"/>
  <c r="W16" i="9"/>
  <c r="V16" i="9"/>
  <c r="E16" i="9"/>
  <c r="AW15" i="9"/>
  <c r="AV15" i="9"/>
  <c r="AO15" i="9"/>
  <c r="AP15" i="9" s="1"/>
  <c r="AK15" i="9"/>
  <c r="AJ15" i="9"/>
  <c r="AE15" i="9"/>
  <c r="AD15" i="9"/>
  <c r="W15" i="9"/>
  <c r="V15" i="9"/>
  <c r="E15" i="9"/>
  <c r="AV14" i="9"/>
  <c r="AP14" i="9"/>
  <c r="AJ14" i="9"/>
  <c r="AD14" i="9"/>
  <c r="V14" i="9"/>
  <c r="N8" i="9"/>
  <c r="E8" i="9"/>
  <c r="N7" i="9"/>
  <c r="E7" i="9"/>
  <c r="AC6" i="9"/>
  <c r="AC33" i="9" s="1"/>
  <c r="N6" i="9"/>
  <c r="E6" i="9"/>
  <c r="AW5" i="9"/>
  <c r="AU5" i="9"/>
  <c r="AO5" i="9"/>
  <c r="AI5" i="9"/>
  <c r="AC5" i="9"/>
  <c r="AE5" i="9" s="1"/>
  <c r="W5" i="9"/>
  <c r="U5" i="9"/>
  <c r="V5" i="9" s="1"/>
  <c r="N5" i="9"/>
  <c r="E5" i="9"/>
  <c r="AU4" i="9"/>
  <c r="AV4" i="9" s="1"/>
  <c r="AO4" i="9"/>
  <c r="AI4" i="9"/>
  <c r="AJ31" i="9" s="1"/>
  <c r="AC4" i="9"/>
  <c r="AD31" i="9" s="1"/>
  <c r="U4" i="9"/>
  <c r="V4" i="9" s="1"/>
  <c r="N4" i="9"/>
  <c r="E4" i="9"/>
  <c r="S5" i="19" l="1"/>
  <c r="S9" i="19"/>
  <c r="S8" i="19"/>
  <c r="S7" i="19"/>
  <c r="S10" i="19"/>
  <c r="S66" i="19"/>
  <c r="S67" i="19"/>
  <c r="S41" i="19"/>
  <c r="T41" i="19" s="1"/>
  <c r="S53" i="19"/>
  <c r="T53" i="19" s="1"/>
  <c r="S55" i="19"/>
  <c r="T55" i="19" s="1"/>
  <c r="S47" i="19"/>
  <c r="T47" i="19" s="1"/>
  <c r="S15" i="19"/>
  <c r="S54" i="19"/>
  <c r="T54" i="19" s="1"/>
  <c r="S44" i="19"/>
  <c r="T44" i="19" s="1"/>
  <c r="S18" i="19"/>
  <c r="S57" i="19"/>
  <c r="T57" i="19" s="1"/>
  <c r="J23" i="19"/>
  <c r="J24" i="19"/>
  <c r="AK23" i="19"/>
  <c r="AK16" i="19"/>
  <c r="AK19" i="19"/>
  <c r="AK30" i="19" s="1"/>
  <c r="AK13" i="19"/>
  <c r="AK32" i="19"/>
  <c r="AK18" i="19"/>
  <c r="S20" i="19"/>
  <c r="S12" i="19"/>
  <c r="S59" i="19"/>
  <c r="T59" i="19" s="1"/>
  <c r="S63" i="19"/>
  <c r="T63" i="19" s="1"/>
  <c r="S19" i="19"/>
  <c r="S42" i="19"/>
  <c r="T42" i="19" s="1"/>
  <c r="S58" i="19"/>
  <c r="T58" i="19" s="1"/>
  <c r="S13" i="19"/>
  <c r="S48" i="19"/>
  <c r="T48" i="19" s="1"/>
  <c r="S22" i="19"/>
  <c r="S45" i="19"/>
  <c r="T45" i="19" s="1"/>
  <c r="S61" i="19"/>
  <c r="T61" i="19" s="1"/>
  <c r="J6" i="19"/>
  <c r="J30" i="19" s="1"/>
  <c r="J15" i="19"/>
  <c r="J13" i="19"/>
  <c r="J14" i="19"/>
  <c r="J26" i="19"/>
  <c r="S43" i="19"/>
  <c r="T43" i="19" s="1"/>
  <c r="S32" i="19"/>
  <c r="S60" i="19"/>
  <c r="T60" i="19" s="1"/>
  <c r="AK20" i="19"/>
  <c r="AK67" i="19"/>
  <c r="AK60" i="19"/>
  <c r="AL60" i="19" s="1"/>
  <c r="AK56" i="19"/>
  <c r="AL56" i="19" s="1"/>
  <c r="AK52" i="19"/>
  <c r="AL52" i="19" s="1"/>
  <c r="AK48" i="19"/>
  <c r="AL48" i="19" s="1"/>
  <c r="AK44" i="19"/>
  <c r="AL44" i="19" s="1"/>
  <c r="AK40" i="19"/>
  <c r="AL40" i="19" s="1"/>
  <c r="AK63" i="19"/>
  <c r="AL63" i="19" s="1"/>
  <c r="AK59" i="19"/>
  <c r="AL59" i="19" s="1"/>
  <c r="AK55" i="19"/>
  <c r="AL55" i="19" s="1"/>
  <c r="AK51" i="19"/>
  <c r="AL51" i="19" s="1"/>
  <c r="AK47" i="19"/>
  <c r="AL47" i="19" s="1"/>
  <c r="AK43" i="19"/>
  <c r="AL43" i="19" s="1"/>
  <c r="AK66" i="19"/>
  <c r="AK61" i="19"/>
  <c r="AL61" i="19" s="1"/>
  <c r="AK57" i="19"/>
  <c r="AL57" i="19" s="1"/>
  <c r="AK53" i="19"/>
  <c r="AL53" i="19" s="1"/>
  <c r="AK49" i="19"/>
  <c r="AL49" i="19" s="1"/>
  <c r="AK45" i="19"/>
  <c r="AL45" i="19" s="1"/>
  <c r="AK41" i="19"/>
  <c r="AK58" i="19"/>
  <c r="AL58" i="19" s="1"/>
  <c r="AK42" i="19"/>
  <c r="AL42" i="19" s="1"/>
  <c r="AK62" i="19"/>
  <c r="AL62" i="19" s="1"/>
  <c r="AK54" i="19"/>
  <c r="AL54" i="19" s="1"/>
  <c r="AK50" i="19"/>
  <c r="AL50" i="19" s="1"/>
  <c r="AK46" i="19"/>
  <c r="AL46" i="19" s="1"/>
  <c r="AK27" i="19"/>
  <c r="AK17" i="19"/>
  <c r="AK22" i="19"/>
  <c r="S23" i="19"/>
  <c r="S16" i="19"/>
  <c r="S27" i="19"/>
  <c r="S46" i="19"/>
  <c r="T46" i="19" s="1"/>
  <c r="S62" i="19"/>
  <c r="T62" i="19" s="1"/>
  <c r="S17" i="19"/>
  <c r="S52" i="19"/>
  <c r="T52" i="19" s="1"/>
  <c r="S24" i="19"/>
  <c r="S49" i="19"/>
  <c r="T49" i="19" s="1"/>
  <c r="J16" i="19"/>
  <c r="J8" i="19"/>
  <c r="J25" i="19"/>
  <c r="J19" i="19"/>
  <c r="J17" i="19"/>
  <c r="J18" i="19"/>
  <c r="J31" i="19"/>
  <c r="T40" i="19"/>
  <c r="AK25" i="19"/>
  <c r="AK28" i="19"/>
  <c r="AB26" i="19"/>
  <c r="AB24" i="19"/>
  <c r="AB22" i="19"/>
  <c r="AB18" i="19"/>
  <c r="AB14" i="19"/>
  <c r="AB10" i="19"/>
  <c r="AB6" i="19"/>
  <c r="AB21" i="19"/>
  <c r="AB17" i="19"/>
  <c r="AB13" i="19"/>
  <c r="AB9" i="19"/>
  <c r="AB5" i="19"/>
  <c r="AB27" i="19"/>
  <c r="AB19" i="19"/>
  <c r="AB15" i="19"/>
  <c r="AB11" i="19"/>
  <c r="AB7" i="19"/>
  <c r="AB31" i="19"/>
  <c r="AB28" i="19"/>
  <c r="AB25" i="19"/>
  <c r="AB32" i="19"/>
  <c r="AB16" i="19"/>
  <c r="AB23" i="19"/>
  <c r="AB20" i="19"/>
  <c r="AB12" i="19"/>
  <c r="AB8" i="19"/>
  <c r="AK11" i="19"/>
  <c r="AK21" i="19"/>
  <c r="S28" i="19"/>
  <c r="S51" i="19"/>
  <c r="T51" i="19" s="1"/>
  <c r="S25" i="19"/>
  <c r="S11" i="19"/>
  <c r="S31" i="19"/>
  <c r="S50" i="19"/>
  <c r="T50" i="19" s="1"/>
  <c r="S21" i="19"/>
  <c r="S56" i="19"/>
  <c r="T56" i="19" s="1"/>
  <c r="S14" i="19"/>
  <c r="S26" i="19"/>
  <c r="J20" i="19"/>
  <c r="J12" i="19"/>
  <c r="J7" i="19"/>
  <c r="J27" i="19"/>
  <c r="J21" i="19"/>
  <c r="J22" i="19"/>
  <c r="AQ15" i="16"/>
  <c r="AQ18" i="14"/>
  <c r="AQ15" i="14"/>
  <c r="AV27" i="9"/>
  <c r="AV18" i="9"/>
  <c r="AJ27" i="9"/>
  <c r="AJ19" i="9"/>
  <c r="AU7" i="17"/>
  <c r="AV32" i="17" s="1"/>
  <c r="AD7" i="17"/>
  <c r="AE7" i="17"/>
  <c r="AD32" i="16"/>
  <c r="L16" i="16"/>
  <c r="F46" i="16" s="1"/>
  <c r="H46" i="16" s="1"/>
  <c r="AU34" i="15"/>
  <c r="AV32" i="15"/>
  <c r="V34" i="15"/>
  <c r="AD32" i="15"/>
  <c r="AD7" i="15"/>
  <c r="AC32" i="16"/>
  <c r="AD33" i="16"/>
  <c r="AE6" i="16"/>
  <c r="AC33" i="16"/>
  <c r="AD6" i="16"/>
  <c r="AJ31" i="16"/>
  <c r="AJ4" i="16"/>
  <c r="AQ18" i="16"/>
  <c r="AP18" i="16"/>
  <c r="F49" i="17"/>
  <c r="H49" i="17" s="1"/>
  <c r="N18" i="17"/>
  <c r="N26" i="17" s="1"/>
  <c r="V5" i="16"/>
  <c r="AC34" i="16"/>
  <c r="L17" i="16"/>
  <c r="F47" i="16" s="1"/>
  <c r="H47" i="16" s="1"/>
  <c r="AE5" i="17"/>
  <c r="AD32" i="17"/>
  <c r="AD5" i="17"/>
  <c r="AO7" i="17"/>
  <c r="N24" i="17"/>
  <c r="F48" i="17"/>
  <c r="H48" i="17" s="1"/>
  <c r="U7" i="17"/>
  <c r="N17" i="17"/>
  <c r="N25" i="17" s="1"/>
  <c r="F47" i="17"/>
  <c r="H47" i="17" s="1"/>
  <c r="C32" i="17"/>
  <c r="D31" i="17"/>
  <c r="AC6" i="17"/>
  <c r="AE7" i="16"/>
  <c r="AD4" i="16"/>
  <c r="AD7" i="16"/>
  <c r="AD31" i="16"/>
  <c r="AW5" i="16"/>
  <c r="AU32" i="16"/>
  <c r="AV5" i="16"/>
  <c r="AP31" i="16"/>
  <c r="AQ5" i="16"/>
  <c r="AP4" i="16"/>
  <c r="AP5" i="16"/>
  <c r="AJ5" i="16"/>
  <c r="AI32" i="16"/>
  <c r="V33" i="16"/>
  <c r="V4" i="16"/>
  <c r="AV4" i="16"/>
  <c r="W5" i="16"/>
  <c r="AK5" i="16"/>
  <c r="C33" i="16"/>
  <c r="AI6" i="16"/>
  <c r="D32" i="16"/>
  <c r="U34" i="16"/>
  <c r="AE5" i="16"/>
  <c r="L23" i="16"/>
  <c r="AK5" i="17"/>
  <c r="AW7" i="17"/>
  <c r="AV31" i="17"/>
  <c r="U34" i="17"/>
  <c r="AI34" i="17"/>
  <c r="F46" i="17"/>
  <c r="H46" i="17" s="1"/>
  <c r="V4" i="17"/>
  <c r="AJ4" i="17"/>
  <c r="V5" i="17"/>
  <c r="AV5" i="17"/>
  <c r="L23" i="17"/>
  <c r="AD31" i="17"/>
  <c r="AI32" i="17"/>
  <c r="AU32" i="17"/>
  <c r="AI32" i="14"/>
  <c r="AK5" i="14"/>
  <c r="AE7" i="14"/>
  <c r="AD31" i="14"/>
  <c r="AO32" i="14"/>
  <c r="AP31" i="14"/>
  <c r="AD7" i="14"/>
  <c r="C32" i="14"/>
  <c r="D31" i="14"/>
  <c r="AC6" i="14"/>
  <c r="AC32" i="14"/>
  <c r="AE5" i="14"/>
  <c r="AD32" i="14"/>
  <c r="AD5" i="14"/>
  <c r="C32" i="15"/>
  <c r="D31" i="15"/>
  <c r="AC6" i="15"/>
  <c r="L16" i="14"/>
  <c r="U34" i="14"/>
  <c r="AD4" i="15"/>
  <c r="AP4" i="15"/>
  <c r="AJ5" i="15"/>
  <c r="AQ5" i="15"/>
  <c r="V7" i="15"/>
  <c r="AE7" i="15"/>
  <c r="AV7" i="15"/>
  <c r="AP31" i="15"/>
  <c r="AC32" i="15"/>
  <c r="AO32" i="15"/>
  <c r="AV5" i="14"/>
  <c r="L23" i="14"/>
  <c r="AU32" i="14"/>
  <c r="AD5" i="15"/>
  <c r="AK5" i="15"/>
  <c r="W7" i="15"/>
  <c r="AP7" i="15"/>
  <c r="AW7" i="15"/>
  <c r="U34" i="15"/>
  <c r="F46" i="15"/>
  <c r="H46" i="15" s="1"/>
  <c r="AE5" i="15"/>
  <c r="AQ7" i="15"/>
  <c r="L23" i="15"/>
  <c r="AD31" i="15"/>
  <c r="AI32" i="15"/>
  <c r="AU32" i="15"/>
  <c r="L16" i="9"/>
  <c r="AC34" i="9"/>
  <c r="C32" i="13"/>
  <c r="D31" i="13"/>
  <c r="AC6" i="13"/>
  <c r="AD7" i="13"/>
  <c r="AP4" i="13"/>
  <c r="AE7" i="13"/>
  <c r="AP31" i="13"/>
  <c r="AC32" i="13"/>
  <c r="AO32" i="13"/>
  <c r="AD5" i="13"/>
  <c r="AK5" i="13"/>
  <c r="AD32" i="13"/>
  <c r="U34" i="13"/>
  <c r="AP5" i="13"/>
  <c r="AD4" i="13"/>
  <c r="AJ5" i="13"/>
  <c r="AI32" i="13"/>
  <c r="AU32" i="13"/>
  <c r="M23" i="9"/>
  <c r="AC8" i="9"/>
  <c r="AC35" i="9" s="1"/>
  <c r="R26" i="12"/>
  <c r="L23" i="12"/>
  <c r="R23" i="12" s="1"/>
  <c r="J24" i="12"/>
  <c r="P24" i="12" s="1"/>
  <c r="N24" i="12"/>
  <c r="T24" i="12" s="1"/>
  <c r="L25" i="12"/>
  <c r="R25" i="12" s="1"/>
  <c r="J26" i="12"/>
  <c r="N26" i="12"/>
  <c r="L27" i="12"/>
  <c r="R27" i="12" s="1"/>
  <c r="J28" i="12"/>
  <c r="P28" i="12" s="1"/>
  <c r="N28" i="12"/>
  <c r="T28" i="12" s="1"/>
  <c r="L29" i="12"/>
  <c r="R29" i="12" s="1"/>
  <c r="J30" i="12"/>
  <c r="P30" i="12" s="1"/>
  <c r="N30" i="12"/>
  <c r="T30" i="12" s="1"/>
  <c r="L31" i="12"/>
  <c r="R31" i="12" s="1"/>
  <c r="J32" i="12"/>
  <c r="N32" i="12"/>
  <c r="M33" i="12"/>
  <c r="S33" i="12" s="1"/>
  <c r="K34" i="12"/>
  <c r="Q34" i="12" s="1"/>
  <c r="M35" i="12"/>
  <c r="S35" i="12" s="1"/>
  <c r="D32" i="9"/>
  <c r="AI6" i="9"/>
  <c r="C33" i="9"/>
  <c r="AQ15" i="9"/>
  <c r="AP31" i="9"/>
  <c r="AC32" i="9"/>
  <c r="AO32" i="9"/>
  <c r="AD33" i="9"/>
  <c r="AD4" i="9"/>
  <c r="AP4" i="9"/>
  <c r="AJ5" i="9"/>
  <c r="AQ5" i="9"/>
  <c r="AE7" i="9"/>
  <c r="D31" i="9"/>
  <c r="AV31" i="9"/>
  <c r="AD32" i="9"/>
  <c r="U34" i="9"/>
  <c r="AP5" i="9"/>
  <c r="AE6" i="9"/>
  <c r="AD7" i="9"/>
  <c r="AD5" i="9"/>
  <c r="AK5" i="9"/>
  <c r="AI32" i="9"/>
  <c r="AU32" i="9"/>
  <c r="V33" i="9"/>
  <c r="AJ4" i="9"/>
  <c r="AV5" i="9"/>
  <c r="AD6" i="9"/>
  <c r="AK65" i="19" l="1"/>
  <c r="AL65" i="19" s="1"/>
  <c r="S30" i="19"/>
  <c r="AB30" i="19"/>
  <c r="S65" i="19"/>
  <c r="T65" i="19" s="1"/>
  <c r="AU34" i="17"/>
  <c r="AV7" i="17"/>
  <c r="AJ32" i="16"/>
  <c r="N16" i="16"/>
  <c r="N24" i="16" s="1"/>
  <c r="M23" i="16"/>
  <c r="AC8" i="16"/>
  <c r="L24" i="16"/>
  <c r="U36" i="17"/>
  <c r="W7" i="17"/>
  <c r="V7" i="17"/>
  <c r="BB13" i="16"/>
  <c r="BB15" i="16" s="1"/>
  <c r="BB17" i="16" s="1"/>
  <c r="AK7" i="16"/>
  <c r="AJ7" i="16"/>
  <c r="AI34" i="16"/>
  <c r="D32" i="17"/>
  <c r="AI6" i="17"/>
  <c r="C33" i="17"/>
  <c r="AJ33" i="16"/>
  <c r="AK6" i="16"/>
  <c r="AI33" i="16"/>
  <c r="AJ6" i="16"/>
  <c r="AC33" i="17"/>
  <c r="AE6" i="17"/>
  <c r="AD6" i="17"/>
  <c r="AD33" i="17"/>
  <c r="AO34" i="17"/>
  <c r="AQ7" i="17"/>
  <c r="AP32" i="17"/>
  <c r="AP7" i="17"/>
  <c r="C34" i="16"/>
  <c r="U6" i="16"/>
  <c r="D33" i="16"/>
  <c r="L18" i="16"/>
  <c r="F48" i="16" s="1"/>
  <c r="H48" i="16" s="1"/>
  <c r="N17" i="16"/>
  <c r="N25" i="16" s="1"/>
  <c r="M23" i="17"/>
  <c r="AC8" i="17"/>
  <c r="L24" i="17"/>
  <c r="V34" i="17"/>
  <c r="M23" i="14"/>
  <c r="AC8" i="14"/>
  <c r="L17" i="14"/>
  <c r="N16" i="14"/>
  <c r="N24" i="14" s="1"/>
  <c r="AD33" i="14"/>
  <c r="AC33" i="14"/>
  <c r="AD6" i="14"/>
  <c r="AE6" i="14"/>
  <c r="AC33" i="15"/>
  <c r="AE6" i="15"/>
  <c r="AD6" i="15"/>
  <c r="AD33" i="15"/>
  <c r="F46" i="14"/>
  <c r="H46" i="14" s="1"/>
  <c r="C33" i="14"/>
  <c r="D32" i="14"/>
  <c r="AI6" i="14"/>
  <c r="M23" i="15"/>
  <c r="AC8" i="15"/>
  <c r="L24" i="15"/>
  <c r="D32" i="15"/>
  <c r="C33" i="15"/>
  <c r="AI6" i="15"/>
  <c r="F46" i="9"/>
  <c r="H46" i="9" s="1"/>
  <c r="L24" i="9" s="1"/>
  <c r="N16" i="9"/>
  <c r="N24" i="9" s="1"/>
  <c r="F47" i="9"/>
  <c r="H47" i="9" s="1"/>
  <c r="N16" i="13"/>
  <c r="N24" i="13" s="1"/>
  <c r="AI7" i="13"/>
  <c r="M23" i="13"/>
  <c r="AC8" i="13"/>
  <c r="F46" i="13"/>
  <c r="H46" i="13" s="1"/>
  <c r="AC33" i="13"/>
  <c r="AD6" i="13"/>
  <c r="AD33" i="13"/>
  <c r="AE6" i="13"/>
  <c r="D32" i="13"/>
  <c r="C33" i="13"/>
  <c r="AI6" i="13"/>
  <c r="AE8" i="9"/>
  <c r="AD8" i="9"/>
  <c r="AD34" i="9"/>
  <c r="J35" i="12"/>
  <c r="P35" i="12" s="1"/>
  <c r="P26" i="12"/>
  <c r="G10" i="12" s="1"/>
  <c r="G11" i="12"/>
  <c r="N35" i="12"/>
  <c r="T35" i="12" s="1"/>
  <c r="T26" i="12"/>
  <c r="AI8" i="9"/>
  <c r="M24" i="9"/>
  <c r="AK6" i="9"/>
  <c r="AJ33" i="9"/>
  <c r="AJ6" i="9"/>
  <c r="AI33" i="9"/>
  <c r="AO23" i="9"/>
  <c r="AO26" i="9"/>
  <c r="C34" i="9"/>
  <c r="U6" i="9"/>
  <c r="D33" i="9"/>
  <c r="O15" i="6"/>
  <c r="D3" i="6"/>
  <c r="F3" i="6" s="1"/>
  <c r="G3" i="6"/>
  <c r="D4" i="6"/>
  <c r="D5" i="6"/>
  <c r="D6" i="6"/>
  <c r="D7" i="6"/>
  <c r="D8" i="6"/>
  <c r="D9" i="6"/>
  <c r="D10" i="6"/>
  <c r="D11" i="6"/>
  <c r="D14" i="6"/>
  <c r="E14" i="6"/>
  <c r="F14" i="6"/>
  <c r="G14" i="6"/>
  <c r="H14" i="6"/>
  <c r="I14" i="6"/>
  <c r="J14" i="6"/>
  <c r="K14" i="6"/>
  <c r="L14" i="6"/>
  <c r="M14" i="6"/>
  <c r="N14" i="6"/>
  <c r="P14" i="6"/>
  <c r="E15" i="6"/>
  <c r="F15" i="6"/>
  <c r="T15" i="6"/>
  <c r="U15" i="6"/>
  <c r="V15" i="6"/>
  <c r="W15" i="6"/>
  <c r="X15" i="6"/>
  <c r="Y15" i="6"/>
  <c r="Z15" i="6"/>
  <c r="AA15" i="6"/>
  <c r="AB15" i="6"/>
  <c r="AC15" i="6"/>
  <c r="AD15" i="6"/>
  <c r="AE15" i="6"/>
  <c r="AF15" i="6"/>
  <c r="D16" i="6"/>
  <c r="D17" i="6" s="1"/>
  <c r="E16" i="6"/>
  <c r="E17" i="6" s="1"/>
  <c r="F16" i="6"/>
  <c r="AC16" i="6"/>
  <c r="AC17" i="6" s="1"/>
  <c r="AE16" i="6"/>
  <c r="F17" i="6"/>
  <c r="AE17" i="6"/>
  <c r="D19" i="6"/>
  <c r="E19" i="6"/>
  <c r="F19" i="6"/>
  <c r="G19" i="6"/>
  <c r="H19" i="6"/>
  <c r="I19" i="6"/>
  <c r="J19" i="6"/>
  <c r="K19" i="6"/>
  <c r="L19" i="6"/>
  <c r="M19" i="6"/>
  <c r="N19" i="6"/>
  <c r="O19" i="6"/>
  <c r="P19" i="6"/>
  <c r="D22" i="6"/>
  <c r="E22" i="6"/>
  <c r="E24" i="6" s="1"/>
  <c r="E25" i="6" s="1"/>
  <c r="F22" i="6"/>
  <c r="F24" i="6" s="1"/>
  <c r="F25" i="6" s="1"/>
  <c r="G22" i="6"/>
  <c r="H22" i="6"/>
  <c r="I22" i="6"/>
  <c r="J22" i="6"/>
  <c r="K22" i="6"/>
  <c r="L22" i="6"/>
  <c r="M22" i="6"/>
  <c r="N22" i="6"/>
  <c r="O22" i="6"/>
  <c r="P22" i="6"/>
  <c r="E23" i="6"/>
  <c r="F23" i="6"/>
  <c r="T23" i="6"/>
  <c r="U23" i="6"/>
  <c r="V23" i="6"/>
  <c r="W23" i="6"/>
  <c r="X23" i="6"/>
  <c r="Y23" i="6"/>
  <c r="Z23" i="6"/>
  <c r="AA23" i="6"/>
  <c r="AB23" i="6"/>
  <c r="AC23" i="6"/>
  <c r="AC24" i="6" s="1"/>
  <c r="AC25" i="6" s="1"/>
  <c r="AD23" i="6"/>
  <c r="AE23" i="6"/>
  <c r="AF23" i="6"/>
  <c r="D24" i="6"/>
  <c r="D25" i="6" s="1"/>
  <c r="AE24" i="6"/>
  <c r="AE25" i="6" s="1"/>
  <c r="D27" i="6"/>
  <c r="E27" i="6"/>
  <c r="F27" i="6"/>
  <c r="G27" i="6"/>
  <c r="H27" i="6"/>
  <c r="I27" i="6"/>
  <c r="J27" i="6"/>
  <c r="K27" i="6"/>
  <c r="L27" i="6"/>
  <c r="M27" i="6"/>
  <c r="N27" i="6"/>
  <c r="O27" i="6"/>
  <c r="P27" i="6"/>
  <c r="D30" i="6"/>
  <c r="E30" i="6"/>
  <c r="E32" i="6" s="1"/>
  <c r="E33" i="6" s="1"/>
  <c r="F30" i="6"/>
  <c r="G30" i="6"/>
  <c r="H30" i="6"/>
  <c r="I30" i="6"/>
  <c r="J30" i="6"/>
  <c r="K30" i="6"/>
  <c r="L30" i="6"/>
  <c r="M30" i="6"/>
  <c r="N30" i="6"/>
  <c r="O30" i="6"/>
  <c r="P30" i="6"/>
  <c r="E31" i="6"/>
  <c r="F31" i="6"/>
  <c r="D32" i="6"/>
  <c r="D33" i="6" s="1"/>
  <c r="F32" i="6"/>
  <c r="F33" i="6"/>
  <c r="D35" i="6"/>
  <c r="E35" i="6"/>
  <c r="F35" i="6"/>
  <c r="G35" i="6"/>
  <c r="H35" i="6"/>
  <c r="I35" i="6"/>
  <c r="J35" i="6"/>
  <c r="K35" i="6"/>
  <c r="L35" i="6"/>
  <c r="M35" i="6"/>
  <c r="N35" i="6"/>
  <c r="O35" i="6"/>
  <c r="P35" i="6"/>
  <c r="L25" i="9" l="1"/>
  <c r="AJ33" i="17"/>
  <c r="AK6" i="17"/>
  <c r="AI33" i="17"/>
  <c r="AJ6" i="17"/>
  <c r="AD34" i="16"/>
  <c r="AD8" i="16"/>
  <c r="AC35" i="16"/>
  <c r="AE8" i="16"/>
  <c r="AC35" i="17"/>
  <c r="AE8" i="17"/>
  <c r="AD34" i="17"/>
  <c r="AD8" i="17"/>
  <c r="D34" i="16"/>
  <c r="C35" i="16"/>
  <c r="AO6" i="16"/>
  <c r="AP23" i="16"/>
  <c r="AQ23" i="16"/>
  <c r="L19" i="16"/>
  <c r="F49" i="16" s="1"/>
  <c r="H49" i="16" s="1"/>
  <c r="N18" i="16"/>
  <c r="N26" i="16" s="1"/>
  <c r="C34" i="17"/>
  <c r="U6" i="17"/>
  <c r="D33" i="17"/>
  <c r="AQ26" i="16"/>
  <c r="AP26" i="16"/>
  <c r="L25" i="16"/>
  <c r="M24" i="16"/>
  <c r="AI8" i="16"/>
  <c r="M24" i="17"/>
  <c r="AI8" i="17"/>
  <c r="L25" i="17"/>
  <c r="V7" i="16"/>
  <c r="U36" i="16"/>
  <c r="W7" i="16"/>
  <c r="V34" i="16"/>
  <c r="W6" i="16"/>
  <c r="V6" i="16"/>
  <c r="V35" i="16"/>
  <c r="U35" i="16"/>
  <c r="M24" i="14"/>
  <c r="AI8" i="14"/>
  <c r="C34" i="15"/>
  <c r="U6" i="15"/>
  <c r="D33" i="15"/>
  <c r="AJ33" i="14"/>
  <c r="AK6" i="14"/>
  <c r="AI33" i="14"/>
  <c r="AJ6" i="14"/>
  <c r="AP23" i="14"/>
  <c r="AQ23" i="14"/>
  <c r="L18" i="14"/>
  <c r="F48" i="14"/>
  <c r="H48" i="14" s="1"/>
  <c r="N17" i="14"/>
  <c r="N25" i="14" s="1"/>
  <c r="AD34" i="14"/>
  <c r="AC35" i="14"/>
  <c r="AE8" i="14"/>
  <c r="AD8" i="14"/>
  <c r="M24" i="15"/>
  <c r="AI8" i="15"/>
  <c r="L25" i="15"/>
  <c r="AQ26" i="14"/>
  <c r="AP26" i="14"/>
  <c r="F47" i="14"/>
  <c r="H47" i="14" s="1"/>
  <c r="L25" i="14" s="1"/>
  <c r="AJ33" i="15"/>
  <c r="AK6" i="15"/>
  <c r="AI33" i="15"/>
  <c r="AJ6" i="15"/>
  <c r="AC35" i="15"/>
  <c r="AE8" i="15"/>
  <c r="AD34" i="15"/>
  <c r="AD8" i="15"/>
  <c r="C34" i="14"/>
  <c r="U6" i="14"/>
  <c r="D33" i="14"/>
  <c r="BB13" i="14"/>
  <c r="BB15" i="14" s="1"/>
  <c r="BB17" i="14" s="1"/>
  <c r="AJ7" i="14"/>
  <c r="AI34" i="14"/>
  <c r="AK7" i="14"/>
  <c r="AJ32" i="14"/>
  <c r="L18" i="9"/>
  <c r="N17" i="9"/>
  <c r="N25" i="9" s="1"/>
  <c r="AJ7" i="9"/>
  <c r="BB13" i="9"/>
  <c r="BB15" i="9" s="1"/>
  <c r="BB17" i="9" s="1"/>
  <c r="AJ32" i="9"/>
  <c r="AK7" i="9"/>
  <c r="AI34" i="9"/>
  <c r="N17" i="13"/>
  <c r="N25" i="13" s="1"/>
  <c r="F47" i="13"/>
  <c r="H47" i="13" s="1"/>
  <c r="L25" i="13" s="1"/>
  <c r="C34" i="13"/>
  <c r="U6" i="13"/>
  <c r="D33" i="13"/>
  <c r="M24" i="13"/>
  <c r="AI8" i="13"/>
  <c r="BB13" i="13"/>
  <c r="BB15" i="13" s="1"/>
  <c r="BB17" i="13" s="1"/>
  <c r="AJ7" i="13"/>
  <c r="AI34" i="13"/>
  <c r="AK7" i="13"/>
  <c r="AJ32" i="13"/>
  <c r="AJ33" i="13"/>
  <c r="AK6" i="13"/>
  <c r="AI33" i="13"/>
  <c r="AJ6" i="13"/>
  <c r="AC35" i="13"/>
  <c r="AE8" i="13"/>
  <c r="AD34" i="13"/>
  <c r="AD8" i="13"/>
  <c r="M25" i="9"/>
  <c r="U8" i="9"/>
  <c r="V35" i="9"/>
  <c r="V6" i="9"/>
  <c r="U35" i="9"/>
  <c r="W6" i="9"/>
  <c r="C35" i="9"/>
  <c r="AO6" i="9"/>
  <c r="D34" i="9"/>
  <c r="AQ23" i="9"/>
  <c r="AP23" i="9"/>
  <c r="AQ26" i="9"/>
  <c r="AP26" i="9"/>
  <c r="AJ34" i="9"/>
  <c r="AJ8" i="9"/>
  <c r="AK8" i="9"/>
  <c r="AI35" i="9"/>
  <c r="M7" i="6"/>
  <c r="M8" i="6"/>
  <c r="M9" i="6"/>
  <c r="I8" i="6"/>
  <c r="I7" i="6"/>
  <c r="AO34" i="16" l="1"/>
  <c r="AQ7" i="16"/>
  <c r="AP32" i="16"/>
  <c r="AP7" i="16"/>
  <c r="U8" i="16"/>
  <c r="L26" i="16"/>
  <c r="M25" i="16"/>
  <c r="C35" i="17"/>
  <c r="AO6" i="17"/>
  <c r="D34" i="17"/>
  <c r="AI35" i="16"/>
  <c r="AK8" i="16"/>
  <c r="AJ8" i="16"/>
  <c r="AJ34" i="16"/>
  <c r="AJ8" i="17"/>
  <c r="AJ34" i="17"/>
  <c r="AK8" i="17"/>
  <c r="AI35" i="17"/>
  <c r="D35" i="16"/>
  <c r="AU6" i="16"/>
  <c r="L26" i="17"/>
  <c r="M25" i="17"/>
  <c r="U8" i="17"/>
  <c r="V6" i="17"/>
  <c r="V35" i="17"/>
  <c r="U35" i="17"/>
  <c r="W6" i="17"/>
  <c r="N19" i="16"/>
  <c r="N27" i="16" s="1"/>
  <c r="AP33" i="16"/>
  <c r="AP6" i="16"/>
  <c r="AO33" i="16"/>
  <c r="AQ6" i="16"/>
  <c r="U8" i="14"/>
  <c r="L26" i="14"/>
  <c r="M25" i="14"/>
  <c r="D34" i="14"/>
  <c r="C35" i="14"/>
  <c r="AO6" i="14"/>
  <c r="AJ8" i="15"/>
  <c r="AJ34" i="15"/>
  <c r="AI35" i="15"/>
  <c r="AK8" i="15"/>
  <c r="L19" i="14"/>
  <c r="F49" i="14" s="1"/>
  <c r="H49" i="14" s="1"/>
  <c r="N18" i="14"/>
  <c r="N26" i="14" s="1"/>
  <c r="AI35" i="14"/>
  <c r="AJ34" i="14"/>
  <c r="AK8" i="14"/>
  <c r="AJ8" i="14"/>
  <c r="C35" i="15"/>
  <c r="AO6" i="15"/>
  <c r="D34" i="15"/>
  <c r="U36" i="14"/>
  <c r="W7" i="14"/>
  <c r="V7" i="14"/>
  <c r="V34" i="14"/>
  <c r="V35" i="14"/>
  <c r="U35" i="14"/>
  <c r="W6" i="14"/>
  <c r="V6" i="14"/>
  <c r="L26" i="15"/>
  <c r="M25" i="15"/>
  <c r="U8" i="15"/>
  <c r="V6" i="15"/>
  <c r="V35" i="15"/>
  <c r="U35" i="15"/>
  <c r="W6" i="15"/>
  <c r="U36" i="9"/>
  <c r="W7" i="9"/>
  <c r="V7" i="9"/>
  <c r="V34" i="9"/>
  <c r="F48" i="9"/>
  <c r="H48" i="9" s="1"/>
  <c r="L26" i="9" s="1"/>
  <c r="AO8" i="9" s="1"/>
  <c r="L19" i="9"/>
  <c r="AO7" i="9"/>
  <c r="N18" i="9"/>
  <c r="N26" i="9" s="1"/>
  <c r="U8" i="13"/>
  <c r="M25" i="13"/>
  <c r="V35" i="13"/>
  <c r="W6" i="13"/>
  <c r="V6" i="13"/>
  <c r="U35" i="13"/>
  <c r="AO7" i="13"/>
  <c r="N18" i="13"/>
  <c r="N26" i="13" s="1"/>
  <c r="AJ34" i="13"/>
  <c r="AJ8" i="13"/>
  <c r="AI35" i="13"/>
  <c r="AK8" i="13"/>
  <c r="C35" i="13"/>
  <c r="AO6" i="13"/>
  <c r="D34" i="13"/>
  <c r="U36" i="13"/>
  <c r="V7" i="13"/>
  <c r="W7" i="13"/>
  <c r="V34" i="13"/>
  <c r="F48" i="13"/>
  <c r="H48" i="13" s="1"/>
  <c r="L26" i="13" s="1"/>
  <c r="AO33" i="9"/>
  <c r="AQ6" i="9"/>
  <c r="AP6" i="9"/>
  <c r="M26" i="9"/>
  <c r="AU6" i="9"/>
  <c r="D35" i="9"/>
  <c r="W8" i="9"/>
  <c r="V8" i="9"/>
  <c r="U37" i="9"/>
  <c r="V36" i="9"/>
  <c r="H15" i="6"/>
  <c r="H16" i="6" s="1"/>
  <c r="H17" i="6" s="1"/>
  <c r="G23" i="6"/>
  <c r="G24" i="6" s="1"/>
  <c r="G25" i="6" s="1"/>
  <c r="K23" i="6"/>
  <c r="K24" i="6" s="1"/>
  <c r="K25" i="6" s="1"/>
  <c r="J31" i="6"/>
  <c r="J32" i="6" s="1"/>
  <c r="J33" i="6" s="1"/>
  <c r="G15" i="6"/>
  <c r="G16" i="6" s="1"/>
  <c r="G17" i="6" s="1"/>
  <c r="I31" i="6"/>
  <c r="I32" i="6" s="1"/>
  <c r="I33" i="6" s="1"/>
  <c r="I15" i="6"/>
  <c r="I16" i="6" s="1"/>
  <c r="I17" i="6" s="1"/>
  <c r="H23" i="6"/>
  <c r="H24" i="6" s="1"/>
  <c r="H25" i="6" s="1"/>
  <c r="G31" i="6"/>
  <c r="G32" i="6" s="1"/>
  <c r="G33" i="6" s="1"/>
  <c r="K31" i="6"/>
  <c r="K32" i="6" s="1"/>
  <c r="K33" i="6" s="1"/>
  <c r="J23" i="6"/>
  <c r="J24" i="6" s="1"/>
  <c r="J25" i="6" s="1"/>
  <c r="J15" i="6"/>
  <c r="J16" i="6" s="1"/>
  <c r="J17" i="6" s="1"/>
  <c r="I23" i="6"/>
  <c r="I24" i="6" s="1"/>
  <c r="I25" i="6" s="1"/>
  <c r="H31" i="6"/>
  <c r="H32" i="6" s="1"/>
  <c r="H33" i="6" s="1"/>
  <c r="K15" i="6"/>
  <c r="K16" i="6" s="1"/>
  <c r="K17" i="6" s="1"/>
  <c r="L15" i="6"/>
  <c r="L16" i="6" s="1"/>
  <c r="L17" i="6" s="1"/>
  <c r="P15" i="6"/>
  <c r="P16" i="6" s="1"/>
  <c r="P17" i="6" s="1"/>
  <c r="O23" i="6"/>
  <c r="O24" i="6" s="1"/>
  <c r="O25" i="6" s="1"/>
  <c r="N31" i="6"/>
  <c r="N32" i="6" s="1"/>
  <c r="N33" i="6" s="1"/>
  <c r="O31" i="6"/>
  <c r="O32" i="6" s="1"/>
  <c r="O33" i="6" s="1"/>
  <c r="N23" i="6"/>
  <c r="N24" i="6" s="1"/>
  <c r="N25" i="6" s="1"/>
  <c r="M15" i="6"/>
  <c r="M16" i="6" s="1"/>
  <c r="M17" i="6" s="1"/>
  <c r="L23" i="6"/>
  <c r="L24" i="6" s="1"/>
  <c r="L25" i="6" s="1"/>
  <c r="P23" i="6"/>
  <c r="P24" i="6" s="1"/>
  <c r="P25" i="6" s="1"/>
  <c r="O16" i="6"/>
  <c r="O17" i="6" s="1"/>
  <c r="N15" i="6"/>
  <c r="N16" i="6" s="1"/>
  <c r="N17" i="6" s="1"/>
  <c r="M23" i="6"/>
  <c r="M24" i="6" s="1"/>
  <c r="M25" i="6" s="1"/>
  <c r="L31" i="6"/>
  <c r="L32" i="6" s="1"/>
  <c r="L33" i="6" s="1"/>
  <c r="P31" i="6"/>
  <c r="P32" i="6" s="1"/>
  <c r="P33" i="6" s="1"/>
  <c r="M31" i="6"/>
  <c r="M32" i="6" s="1"/>
  <c r="M33" i="6" s="1"/>
  <c r="AU6" i="17" l="1"/>
  <c r="D35" i="17"/>
  <c r="L27" i="17"/>
  <c r="AO8" i="17"/>
  <c r="M26" i="17"/>
  <c r="AV7" i="16"/>
  <c r="AU34" i="16"/>
  <c r="AW7" i="16"/>
  <c r="AV32" i="16"/>
  <c r="AW6" i="16"/>
  <c r="AV6" i="16"/>
  <c r="AV33" i="16"/>
  <c r="AU33" i="16"/>
  <c r="M26" i="16"/>
  <c r="L27" i="16"/>
  <c r="AO8" i="16"/>
  <c r="W8" i="17"/>
  <c r="U37" i="17"/>
  <c r="V8" i="17"/>
  <c r="V36" i="17"/>
  <c r="AO33" i="17"/>
  <c r="AQ6" i="17"/>
  <c r="AP6" i="17"/>
  <c r="AP33" i="17"/>
  <c r="V36" i="16"/>
  <c r="W8" i="16"/>
  <c r="U37" i="16"/>
  <c r="V8" i="16"/>
  <c r="L27" i="15"/>
  <c r="AO8" i="15"/>
  <c r="M26" i="15"/>
  <c r="AO33" i="15"/>
  <c r="AQ6" i="15"/>
  <c r="AP33" i="15"/>
  <c r="AP6" i="15"/>
  <c r="AU6" i="15"/>
  <c r="D35" i="15"/>
  <c r="N19" i="14"/>
  <c r="N27" i="14" s="1"/>
  <c r="W8" i="15"/>
  <c r="U37" i="15"/>
  <c r="V8" i="15"/>
  <c r="V36" i="15"/>
  <c r="AP33" i="14"/>
  <c r="AO33" i="14"/>
  <c r="AQ6" i="14"/>
  <c r="AP6" i="14"/>
  <c r="M26" i="14"/>
  <c r="AO8" i="14"/>
  <c r="AO34" i="14"/>
  <c r="AQ7" i="14"/>
  <c r="AP7" i="14"/>
  <c r="AP32" i="14"/>
  <c r="D35" i="14"/>
  <c r="AU6" i="14"/>
  <c r="V36" i="14"/>
  <c r="W8" i="14"/>
  <c r="U37" i="14"/>
  <c r="V8" i="14"/>
  <c r="N19" i="9"/>
  <c r="N27" i="9" s="1"/>
  <c r="AO34" i="9"/>
  <c r="AP32" i="9"/>
  <c r="AQ7" i="9"/>
  <c r="AP7" i="9"/>
  <c r="AP33" i="9"/>
  <c r="AO25" i="9" s="1"/>
  <c r="F49" i="9"/>
  <c r="H49" i="9" s="1"/>
  <c r="L27" i="9" s="1"/>
  <c r="M27" i="9" s="1"/>
  <c r="AO8" i="13"/>
  <c r="M26" i="13"/>
  <c r="AU6" i="13"/>
  <c r="D35" i="13"/>
  <c r="AO34" i="13"/>
  <c r="AQ7" i="13"/>
  <c r="AP7" i="13"/>
  <c r="AP32" i="13"/>
  <c r="W8" i="13"/>
  <c r="U37" i="13"/>
  <c r="V8" i="13"/>
  <c r="V36" i="13"/>
  <c r="AU7" i="13"/>
  <c r="N19" i="13"/>
  <c r="N27" i="13" s="1"/>
  <c r="AO33" i="13"/>
  <c r="AP6" i="13"/>
  <c r="AQ6" i="13"/>
  <c r="AP33" i="13"/>
  <c r="F49" i="13"/>
  <c r="H49" i="13" s="1"/>
  <c r="L27" i="13" s="1"/>
  <c r="AV33" i="9"/>
  <c r="AV6" i="9"/>
  <c r="AU33" i="9"/>
  <c r="AW6" i="9"/>
  <c r="AP8" i="9"/>
  <c r="AQ8" i="9"/>
  <c r="AO35" i="9"/>
  <c r="AP34" i="9"/>
  <c r="AO17" i="9"/>
  <c r="BB13" i="1"/>
  <c r="BB15" i="1" s="1"/>
  <c r="AN25" i="5"/>
  <c r="AN24" i="5"/>
  <c r="AN23" i="5"/>
  <c r="AN22" i="5"/>
  <c r="AL28" i="5"/>
  <c r="AL27" i="5"/>
  <c r="AL26" i="5"/>
  <c r="AL25" i="5"/>
  <c r="AL24" i="5"/>
  <c r="AL23" i="5"/>
  <c r="AL22" i="5"/>
  <c r="AL21" i="5"/>
  <c r="AL20" i="5"/>
  <c r="AL19" i="5"/>
  <c r="AL18" i="5"/>
  <c r="AL17" i="5"/>
  <c r="AL16" i="5"/>
  <c r="AL15" i="5"/>
  <c r="AL14" i="5"/>
  <c r="AL13" i="5"/>
  <c r="AL12" i="5"/>
  <c r="AL11" i="5"/>
  <c r="AL10" i="5"/>
  <c r="AL9" i="5"/>
  <c r="AL8" i="5"/>
  <c r="AL7" i="5"/>
  <c r="AL6" i="5"/>
  <c r="AL5" i="5"/>
  <c r="AQ17" i="16" l="1"/>
  <c r="AP17" i="16"/>
  <c r="AQ24" i="16"/>
  <c r="AP24" i="16"/>
  <c r="AQ16" i="16"/>
  <c r="AP16" i="16"/>
  <c r="AP34" i="16"/>
  <c r="AQ8" i="16"/>
  <c r="AP8" i="16"/>
  <c r="AO35" i="16"/>
  <c r="AQ8" i="17"/>
  <c r="AP8" i="17"/>
  <c r="AO35" i="17"/>
  <c r="AP34" i="17"/>
  <c r="AU8" i="16"/>
  <c r="M27" i="16"/>
  <c r="M27" i="17"/>
  <c r="AU8" i="17"/>
  <c r="AQ25" i="16"/>
  <c r="AP25" i="16"/>
  <c r="AV6" i="17"/>
  <c r="AV33" i="17"/>
  <c r="AU33" i="17"/>
  <c r="AW6" i="17"/>
  <c r="AU34" i="14"/>
  <c r="AW7" i="14"/>
  <c r="AV7" i="14"/>
  <c r="AV32" i="14"/>
  <c r="AV33" i="14"/>
  <c r="AU33" i="14"/>
  <c r="AV6" i="14"/>
  <c r="AW6" i="14"/>
  <c r="AP34" i="14"/>
  <c r="AP8" i="14"/>
  <c r="AO35" i="14"/>
  <c r="AQ8" i="14"/>
  <c r="AQ8" i="15"/>
  <c r="AP8" i="15"/>
  <c r="AO35" i="15"/>
  <c r="AP34" i="15"/>
  <c r="AV6" i="15"/>
  <c r="AV33" i="15"/>
  <c r="AU33" i="15"/>
  <c r="AW6" i="15"/>
  <c r="M27" i="14"/>
  <c r="AU8" i="14"/>
  <c r="M27" i="15"/>
  <c r="AU8" i="15"/>
  <c r="AU8" i="9"/>
  <c r="AW7" i="9"/>
  <c r="AV7" i="9"/>
  <c r="AU34" i="9"/>
  <c r="AV32" i="9"/>
  <c r="AO16" i="9"/>
  <c r="AO24" i="9"/>
  <c r="M27" i="13"/>
  <c r="AU8" i="13"/>
  <c r="AV33" i="13"/>
  <c r="AU33" i="13"/>
  <c r="AW6" i="13"/>
  <c r="AV6" i="13"/>
  <c r="AU34" i="13"/>
  <c r="AW7" i="13"/>
  <c r="AV7" i="13"/>
  <c r="AV32" i="13"/>
  <c r="AP8" i="13"/>
  <c r="AO35" i="13"/>
  <c r="AP34" i="13"/>
  <c r="AQ8" i="13"/>
  <c r="AW8" i="9"/>
  <c r="AU35" i="9"/>
  <c r="AV34" i="9"/>
  <c r="AV8" i="9"/>
  <c r="AQ25" i="9"/>
  <c r="AP25" i="9"/>
  <c r="AO19" i="9"/>
  <c r="AO27" i="9"/>
  <c r="AQ17" i="9"/>
  <c r="AP17" i="9"/>
  <c r="Z60" i="5"/>
  <c r="Z61" i="5"/>
  <c r="Z62" i="5"/>
  <c r="Z63" i="5"/>
  <c r="AA63" i="5" s="1"/>
  <c r="Z59" i="5"/>
  <c r="Z41" i="5"/>
  <c r="Z42" i="5"/>
  <c r="Z43" i="5"/>
  <c r="AA43" i="5" s="1"/>
  <c r="Z44" i="5"/>
  <c r="AA44" i="5" s="1"/>
  <c r="Z45" i="5"/>
  <c r="Z46" i="5"/>
  <c r="Z47" i="5"/>
  <c r="AA47" i="5" s="1"/>
  <c r="Z40" i="5"/>
  <c r="Z49" i="5"/>
  <c r="Z50" i="5"/>
  <c r="Z51" i="5"/>
  <c r="Z52" i="5"/>
  <c r="Z53" i="5"/>
  <c r="Z54" i="5"/>
  <c r="Z55" i="5"/>
  <c r="Z56" i="5"/>
  <c r="Z57" i="5"/>
  <c r="Z58" i="5"/>
  <c r="Z48" i="5"/>
  <c r="AH40" i="5"/>
  <c r="AI40" i="5"/>
  <c r="AH41" i="5"/>
  <c r="AI41" i="5"/>
  <c r="AH42" i="5"/>
  <c r="AI42" i="5"/>
  <c r="AH43" i="5"/>
  <c r="AI43" i="5"/>
  <c r="AH44" i="5"/>
  <c r="AJ44" i="5" s="1"/>
  <c r="AI44" i="5"/>
  <c r="AH45" i="5"/>
  <c r="AI45" i="5"/>
  <c r="AH46" i="5"/>
  <c r="AJ46" i="5" s="1"/>
  <c r="AI46" i="5"/>
  <c r="AH47" i="5"/>
  <c r="AI47" i="5"/>
  <c r="AH48" i="5"/>
  <c r="AJ48" i="5" s="1"/>
  <c r="AI48" i="5"/>
  <c r="AH49" i="5"/>
  <c r="AI49" i="5"/>
  <c r="AH50" i="5"/>
  <c r="AJ50" i="5" s="1"/>
  <c r="AI50" i="5"/>
  <c r="AH51" i="5"/>
  <c r="AI51" i="5"/>
  <c r="AH52" i="5"/>
  <c r="AJ52" i="5" s="1"/>
  <c r="AI52" i="5"/>
  <c r="AH53" i="5"/>
  <c r="AI53" i="5"/>
  <c r="AH54" i="5"/>
  <c r="AJ54" i="5" s="1"/>
  <c r="AI54" i="5"/>
  <c r="AH55" i="5"/>
  <c r="AI55" i="5"/>
  <c r="AH56" i="5"/>
  <c r="AJ56" i="5" s="1"/>
  <c r="AI56" i="5"/>
  <c r="AH57" i="5"/>
  <c r="AI57" i="5"/>
  <c r="AH58" i="5"/>
  <c r="AJ58" i="5" s="1"/>
  <c r="AI58" i="5"/>
  <c r="AH59" i="5"/>
  <c r="AI59" i="5"/>
  <c r="AH60" i="5"/>
  <c r="AJ60" i="5" s="1"/>
  <c r="AI60" i="5"/>
  <c r="AH61" i="5"/>
  <c r="AI61" i="5"/>
  <c r="AH62" i="5"/>
  <c r="AJ62" i="5" s="1"/>
  <c r="AI62" i="5"/>
  <c r="AH63" i="5"/>
  <c r="AI63" i="5"/>
  <c r="Y40" i="5"/>
  <c r="Y41" i="5"/>
  <c r="AA41" i="5"/>
  <c r="Y42" i="5"/>
  <c r="AA42" i="5"/>
  <c r="Y43" i="5"/>
  <c r="Y44" i="5"/>
  <c r="Y45" i="5"/>
  <c r="AA45" i="5"/>
  <c r="Y46" i="5"/>
  <c r="AA46" i="5"/>
  <c r="Y47" i="5"/>
  <c r="Y48" i="5"/>
  <c r="Y49" i="5"/>
  <c r="Y50" i="5"/>
  <c r="Y51" i="5"/>
  <c r="Y52" i="5"/>
  <c r="Y53" i="5"/>
  <c r="Y54" i="5"/>
  <c r="Y55" i="5"/>
  <c r="Y56" i="5"/>
  <c r="Y57" i="5"/>
  <c r="Y58" i="5"/>
  <c r="Y59" i="5"/>
  <c r="AA59" i="5"/>
  <c r="Y60" i="5"/>
  <c r="AA60" i="5"/>
  <c r="Y61" i="5"/>
  <c r="AA61" i="5"/>
  <c r="Y62" i="5"/>
  <c r="AA62" i="5"/>
  <c r="Y63" i="5"/>
  <c r="AJ24" i="5"/>
  <c r="AA6" i="5"/>
  <c r="AA10" i="5"/>
  <c r="AA12" i="5"/>
  <c r="AA14" i="5"/>
  <c r="AA18" i="5"/>
  <c r="AA20" i="5"/>
  <c r="AA22" i="5"/>
  <c r="AA26" i="5"/>
  <c r="AA28" i="5"/>
  <c r="R5" i="5"/>
  <c r="S5" i="5"/>
  <c r="R6" i="5"/>
  <c r="S7" i="5" s="1"/>
  <c r="S6" i="5"/>
  <c r="R7" i="5"/>
  <c r="R8" i="5"/>
  <c r="S8" i="5"/>
  <c r="R9" i="5"/>
  <c r="R10" i="5"/>
  <c r="S10" i="5"/>
  <c r="R11" i="5"/>
  <c r="R12" i="5"/>
  <c r="S12" i="5"/>
  <c r="R13" i="5"/>
  <c r="R14" i="5"/>
  <c r="S14" i="5"/>
  <c r="R15" i="5"/>
  <c r="R16" i="5"/>
  <c r="S16" i="5"/>
  <c r="R17" i="5"/>
  <c r="R18" i="5"/>
  <c r="S18" i="5"/>
  <c r="R19" i="5"/>
  <c r="R20" i="5"/>
  <c r="S20" i="5"/>
  <c r="R21" i="5"/>
  <c r="R22" i="5"/>
  <c r="S22" i="5"/>
  <c r="R23" i="5"/>
  <c r="R24" i="5"/>
  <c r="S24" i="5"/>
  <c r="R25" i="5"/>
  <c r="R26" i="5"/>
  <c r="S26" i="5"/>
  <c r="R27" i="5"/>
  <c r="R28" i="5"/>
  <c r="S28" i="5"/>
  <c r="P40" i="5"/>
  <c r="Q40" i="5"/>
  <c r="S64" i="5" s="1"/>
  <c r="R40" i="5"/>
  <c r="S66" i="5" s="1"/>
  <c r="S40" i="5"/>
  <c r="P41" i="5"/>
  <c r="Q41" i="5"/>
  <c r="R41" i="5"/>
  <c r="S41" i="5"/>
  <c r="P42" i="5"/>
  <c r="Q42" i="5"/>
  <c r="R42" i="5"/>
  <c r="S42" i="5"/>
  <c r="P43" i="5"/>
  <c r="Q43" i="5"/>
  <c r="R43" i="5"/>
  <c r="S43" i="5"/>
  <c r="P44" i="5"/>
  <c r="Q44" i="5"/>
  <c r="R44" i="5"/>
  <c r="S44" i="5"/>
  <c r="P45" i="5"/>
  <c r="Q45" i="5"/>
  <c r="R45" i="5"/>
  <c r="S45" i="5"/>
  <c r="P46" i="5"/>
  <c r="Q46" i="5"/>
  <c r="R46" i="5"/>
  <c r="S46" i="5"/>
  <c r="P47" i="5"/>
  <c r="Q47" i="5"/>
  <c r="R47" i="5"/>
  <c r="S47" i="5"/>
  <c r="P48" i="5"/>
  <c r="Q48" i="5"/>
  <c r="R48" i="5"/>
  <c r="S48" i="5"/>
  <c r="P49" i="5"/>
  <c r="Q49" i="5"/>
  <c r="R49" i="5"/>
  <c r="S49" i="5"/>
  <c r="P50" i="5"/>
  <c r="Q50" i="5"/>
  <c r="R50" i="5"/>
  <c r="S50" i="5"/>
  <c r="P51" i="5"/>
  <c r="Q51" i="5"/>
  <c r="R51" i="5"/>
  <c r="S51" i="5"/>
  <c r="P52" i="5"/>
  <c r="Q52" i="5"/>
  <c r="R52" i="5"/>
  <c r="S52" i="5"/>
  <c r="P53" i="5"/>
  <c r="Q53" i="5"/>
  <c r="R53" i="5"/>
  <c r="S53" i="5"/>
  <c r="P54" i="5"/>
  <c r="Q54" i="5"/>
  <c r="R54" i="5"/>
  <c r="S54" i="5"/>
  <c r="P55" i="5"/>
  <c r="Q55" i="5"/>
  <c r="R55" i="5"/>
  <c r="S55" i="5"/>
  <c r="P56" i="5"/>
  <c r="Q56" i="5"/>
  <c r="R56" i="5"/>
  <c r="S56" i="5"/>
  <c r="P57" i="5"/>
  <c r="Q57" i="5"/>
  <c r="R57" i="5"/>
  <c r="S57" i="5"/>
  <c r="P58" i="5"/>
  <c r="Q58" i="5"/>
  <c r="R58" i="5"/>
  <c r="S58" i="5"/>
  <c r="P59" i="5"/>
  <c r="Q59" i="5"/>
  <c r="R59" i="5"/>
  <c r="S59" i="5"/>
  <c r="P60" i="5"/>
  <c r="Q60" i="5"/>
  <c r="R60" i="5"/>
  <c r="S60" i="5"/>
  <c r="P61" i="5"/>
  <c r="Q61" i="5"/>
  <c r="R61" i="5"/>
  <c r="S61" i="5"/>
  <c r="P62" i="5"/>
  <c r="Q62" i="5"/>
  <c r="R62" i="5"/>
  <c r="S62" i="5"/>
  <c r="P63" i="5"/>
  <c r="Q63" i="5"/>
  <c r="R63" i="5"/>
  <c r="S63" i="5"/>
  <c r="AH5" i="5"/>
  <c r="AI5" i="5"/>
  <c r="AK29" i="5" s="1"/>
  <c r="AH6" i="5"/>
  <c r="AI6" i="5"/>
  <c r="AJ6" i="5" s="1"/>
  <c r="AH7" i="5"/>
  <c r="AI7" i="5"/>
  <c r="AJ7" i="5" s="1"/>
  <c r="AH8" i="5"/>
  <c r="AI8" i="5"/>
  <c r="AJ8" i="5" s="1"/>
  <c r="AH9" i="5"/>
  <c r="AI9" i="5"/>
  <c r="AJ9" i="5" s="1"/>
  <c r="AH10" i="5"/>
  <c r="AI10" i="5"/>
  <c r="AJ10" i="5" s="1"/>
  <c r="AH11" i="5"/>
  <c r="AI11" i="5"/>
  <c r="AJ11" i="5" s="1"/>
  <c r="AH12" i="5"/>
  <c r="AI12" i="5"/>
  <c r="AJ12" i="5" s="1"/>
  <c r="AH13" i="5"/>
  <c r="AI13" i="5"/>
  <c r="AJ13" i="5" s="1"/>
  <c r="AH14" i="5"/>
  <c r="AI14" i="5"/>
  <c r="AJ14" i="5" s="1"/>
  <c r="AH15" i="5"/>
  <c r="AI15" i="5"/>
  <c r="AJ15" i="5" s="1"/>
  <c r="AH16" i="5"/>
  <c r="AI16" i="5"/>
  <c r="AJ16" i="5" s="1"/>
  <c r="AH17" i="5"/>
  <c r="AI17" i="5"/>
  <c r="AJ17" i="5" s="1"/>
  <c r="AH18" i="5"/>
  <c r="AI18" i="5"/>
  <c r="AJ18" i="5" s="1"/>
  <c r="AH19" i="5"/>
  <c r="AI19" i="5"/>
  <c r="AJ19" i="5" s="1"/>
  <c r="AH20" i="5"/>
  <c r="AI20" i="5"/>
  <c r="AJ20" i="5" s="1"/>
  <c r="AH21" i="5"/>
  <c r="AI21" i="5"/>
  <c r="AJ21" i="5" s="1"/>
  <c r="AH22" i="5"/>
  <c r="AI22" i="5"/>
  <c r="AJ22" i="5" s="1"/>
  <c r="AH23" i="5"/>
  <c r="AI23" i="5"/>
  <c r="AJ23" i="5" s="1"/>
  <c r="AH24" i="5"/>
  <c r="AI24" i="5"/>
  <c r="AH25" i="5"/>
  <c r="AI25" i="5"/>
  <c r="AJ25" i="5" s="1"/>
  <c r="AH26" i="5"/>
  <c r="AI26" i="5"/>
  <c r="AJ26" i="5" s="1"/>
  <c r="AH27" i="5"/>
  <c r="AI27" i="5"/>
  <c r="AJ27" i="5" s="1"/>
  <c r="AH28" i="5"/>
  <c r="AI28" i="5"/>
  <c r="AJ28" i="5" s="1"/>
  <c r="Y5" i="5"/>
  <c r="Z5" i="5"/>
  <c r="AB29" i="5" s="1"/>
  <c r="Y6" i="5"/>
  <c r="Z6" i="5"/>
  <c r="Y7" i="5"/>
  <c r="Z7" i="5"/>
  <c r="AA7" i="5" s="1"/>
  <c r="Y8" i="5"/>
  <c r="Z8" i="5"/>
  <c r="AA8" i="5" s="1"/>
  <c r="Y9" i="5"/>
  <c r="Z9" i="5"/>
  <c r="AA9" i="5" s="1"/>
  <c r="Y10" i="5"/>
  <c r="Z10" i="5"/>
  <c r="Y11" i="5"/>
  <c r="Z11" i="5"/>
  <c r="AA11" i="5" s="1"/>
  <c r="Y12" i="5"/>
  <c r="Z12" i="5"/>
  <c r="Y13" i="5"/>
  <c r="Z13" i="5"/>
  <c r="AA13" i="5" s="1"/>
  <c r="Y14" i="5"/>
  <c r="Z14" i="5"/>
  <c r="Y15" i="5"/>
  <c r="Z15" i="5"/>
  <c r="AA15" i="5" s="1"/>
  <c r="Y16" i="5"/>
  <c r="Z16" i="5"/>
  <c r="AA16" i="5" s="1"/>
  <c r="Y17" i="5"/>
  <c r="Z17" i="5"/>
  <c r="AA17" i="5" s="1"/>
  <c r="Y18" i="5"/>
  <c r="Z18" i="5"/>
  <c r="Y19" i="5"/>
  <c r="Z19" i="5"/>
  <c r="AA19" i="5" s="1"/>
  <c r="Y20" i="5"/>
  <c r="Z20" i="5"/>
  <c r="Y21" i="5"/>
  <c r="Z21" i="5"/>
  <c r="AA21" i="5" s="1"/>
  <c r="Y22" i="5"/>
  <c r="Z22" i="5"/>
  <c r="Y23" i="5"/>
  <c r="Z23" i="5"/>
  <c r="AA23" i="5" s="1"/>
  <c r="Y24" i="5"/>
  <c r="Z24" i="5"/>
  <c r="AA24" i="5" s="1"/>
  <c r="Y25" i="5"/>
  <c r="Z25" i="5"/>
  <c r="AA25" i="5" s="1"/>
  <c r="Y26" i="5"/>
  <c r="Z26" i="5"/>
  <c r="Y27" i="5"/>
  <c r="Z27" i="5"/>
  <c r="AA27" i="5" s="1"/>
  <c r="Y28" i="5"/>
  <c r="Z28" i="5"/>
  <c r="P5" i="5"/>
  <c r="Q5" i="5"/>
  <c r="S29" i="5" s="1"/>
  <c r="P6" i="5"/>
  <c r="Q6" i="5"/>
  <c r="P7" i="5"/>
  <c r="Q7" i="5"/>
  <c r="P8" i="5"/>
  <c r="Q8" i="5"/>
  <c r="P9" i="5"/>
  <c r="Q9" i="5"/>
  <c r="P10" i="5"/>
  <c r="Q10" i="5"/>
  <c r="P11" i="5"/>
  <c r="Q11" i="5"/>
  <c r="P12" i="5"/>
  <c r="Q12" i="5"/>
  <c r="P13" i="5"/>
  <c r="Q13" i="5"/>
  <c r="P14" i="5"/>
  <c r="Q14" i="5"/>
  <c r="P15" i="5"/>
  <c r="Q15" i="5"/>
  <c r="P16" i="5"/>
  <c r="Q16" i="5"/>
  <c r="P17" i="5"/>
  <c r="Q17" i="5"/>
  <c r="P18" i="5"/>
  <c r="Q18" i="5"/>
  <c r="P19" i="5"/>
  <c r="Q19" i="5"/>
  <c r="P20" i="5"/>
  <c r="Q20" i="5"/>
  <c r="P21" i="5"/>
  <c r="Q21" i="5"/>
  <c r="P22" i="5"/>
  <c r="Q22" i="5"/>
  <c r="P23" i="5"/>
  <c r="Q23" i="5"/>
  <c r="P24" i="5"/>
  <c r="Q24" i="5"/>
  <c r="P25" i="5"/>
  <c r="Q25" i="5"/>
  <c r="P26" i="5"/>
  <c r="Q26" i="5"/>
  <c r="P27" i="5"/>
  <c r="Q27" i="5"/>
  <c r="P28" i="5"/>
  <c r="Q28" i="5"/>
  <c r="AU35" i="17" l="1"/>
  <c r="AV34" i="17"/>
  <c r="AW8" i="17"/>
  <c r="AV8" i="17"/>
  <c r="AU35" i="16"/>
  <c r="AV34" i="16"/>
  <c r="AW8" i="16"/>
  <c r="AV8" i="16"/>
  <c r="AQ24" i="14"/>
  <c r="AP24" i="14"/>
  <c r="AQ16" i="14"/>
  <c r="AP16" i="14"/>
  <c r="AU35" i="15"/>
  <c r="AV34" i="15"/>
  <c r="AW8" i="15"/>
  <c r="AV8" i="15"/>
  <c r="AQ25" i="14"/>
  <c r="AP25" i="14"/>
  <c r="AU35" i="14"/>
  <c r="AV34" i="14"/>
  <c r="AW8" i="14"/>
  <c r="AV8" i="14"/>
  <c r="AQ17" i="14"/>
  <c r="AP17" i="14"/>
  <c r="AQ24" i="9"/>
  <c r="AP24" i="9"/>
  <c r="AQ16" i="9"/>
  <c r="AP16" i="9"/>
  <c r="AU35" i="13"/>
  <c r="AV34" i="13"/>
  <c r="AW8" i="13"/>
  <c r="AV8" i="13"/>
  <c r="AQ19" i="9"/>
  <c r="AP19" i="9"/>
  <c r="AQ27" i="9"/>
  <c r="AP27" i="9"/>
  <c r="AJ5" i="5"/>
  <c r="AK5" i="5" s="1"/>
  <c r="AJ42" i="5"/>
  <c r="AJ40" i="5"/>
  <c r="AK41" i="5" s="1"/>
  <c r="AK7" i="5"/>
  <c r="AK10" i="5"/>
  <c r="AK18" i="5"/>
  <c r="AK26" i="5"/>
  <c r="AK28" i="5"/>
  <c r="AK20" i="5"/>
  <c r="AK12" i="5"/>
  <c r="AK22" i="5"/>
  <c r="AK14" i="5"/>
  <c r="AK6" i="5"/>
  <c r="AJ63" i="5"/>
  <c r="AJ61" i="5"/>
  <c r="AJ59" i="5"/>
  <c r="AJ57" i="5"/>
  <c r="AJ55" i="5"/>
  <c r="AJ53" i="5"/>
  <c r="AJ51" i="5"/>
  <c r="AJ49" i="5"/>
  <c r="AJ47" i="5"/>
  <c r="AJ45" i="5"/>
  <c r="AJ43" i="5"/>
  <c r="AK46" i="5" s="1"/>
  <c r="AJ41" i="5"/>
  <c r="AK24" i="5"/>
  <c r="AK16" i="5"/>
  <c r="AK8" i="5"/>
  <c r="AA5" i="5"/>
  <c r="AA40" i="5"/>
  <c r="AK64" i="5"/>
  <c r="AK40" i="5"/>
  <c r="AB67" i="5"/>
  <c r="AK27" i="5"/>
  <c r="AK25" i="5"/>
  <c r="AK23" i="5"/>
  <c r="AK21" i="5"/>
  <c r="AK19" i="5"/>
  <c r="AK17" i="5"/>
  <c r="AK15" i="5"/>
  <c r="AK13" i="5"/>
  <c r="AK11" i="5"/>
  <c r="AK9" i="5"/>
  <c r="AK31" i="5"/>
  <c r="AB27" i="5"/>
  <c r="AB23" i="5"/>
  <c r="AB17" i="5"/>
  <c r="AB15" i="5"/>
  <c r="AB31" i="5"/>
  <c r="S27" i="5"/>
  <c r="S25" i="5"/>
  <c r="S23" i="5"/>
  <c r="S21" i="5"/>
  <c r="S19" i="5"/>
  <c r="S17" i="5"/>
  <c r="S15" i="5"/>
  <c r="S13" i="5"/>
  <c r="S11" i="5"/>
  <c r="S9" i="5"/>
  <c r="S31" i="5"/>
  <c r="S30" i="5"/>
  <c r="S65" i="5"/>
  <c r="S67" i="5"/>
  <c r="AK32" i="5"/>
  <c r="S32" i="5"/>
  <c r="J29" i="5"/>
  <c r="H6" i="5"/>
  <c r="H7" i="5"/>
  <c r="H8" i="5"/>
  <c r="H9" i="5"/>
  <c r="H10" i="5"/>
  <c r="H11" i="5"/>
  <c r="H12" i="5"/>
  <c r="H13" i="5"/>
  <c r="H14" i="5"/>
  <c r="H15" i="5"/>
  <c r="H16" i="5"/>
  <c r="H17" i="5"/>
  <c r="H18" i="5"/>
  <c r="H19" i="5"/>
  <c r="H20" i="5"/>
  <c r="H21" i="5"/>
  <c r="H22" i="5"/>
  <c r="H23" i="5"/>
  <c r="H24" i="5"/>
  <c r="H25" i="5"/>
  <c r="H26" i="5"/>
  <c r="H27" i="5"/>
  <c r="H28" i="5"/>
  <c r="H5" i="5"/>
  <c r="G28" i="5"/>
  <c r="G27" i="5"/>
  <c r="G26" i="5"/>
  <c r="G25" i="5"/>
  <c r="G24" i="5"/>
  <c r="G23" i="5"/>
  <c r="G22" i="5"/>
  <c r="G21" i="5"/>
  <c r="G20" i="5"/>
  <c r="G19" i="5"/>
  <c r="G18" i="5"/>
  <c r="G17" i="5"/>
  <c r="G16" i="5"/>
  <c r="G15" i="5"/>
  <c r="G14" i="5"/>
  <c r="G13" i="5"/>
  <c r="G12" i="5"/>
  <c r="G11" i="5"/>
  <c r="I11" i="5" s="1"/>
  <c r="G10" i="5"/>
  <c r="G9" i="5"/>
  <c r="G8" i="5"/>
  <c r="G7" i="5"/>
  <c r="I7" i="5" s="1"/>
  <c r="G6" i="5"/>
  <c r="G5" i="5"/>
  <c r="V36" i="1"/>
  <c r="V35" i="1"/>
  <c r="V34" i="1"/>
  <c r="V33" i="1"/>
  <c r="U8" i="1"/>
  <c r="U7" i="1"/>
  <c r="L23" i="1"/>
  <c r="L24" i="1"/>
  <c r="C32" i="1"/>
  <c r="B46" i="1"/>
  <c r="K44" i="1"/>
  <c r="B45" i="1"/>
  <c r="C31" i="1"/>
  <c r="AQ19" i="16" l="1"/>
  <c r="AP19" i="16"/>
  <c r="AP27" i="16"/>
  <c r="AQ27" i="16"/>
  <c r="AP27" i="14"/>
  <c r="AQ27" i="14"/>
  <c r="AQ19" i="14"/>
  <c r="AP19" i="14"/>
  <c r="AK44" i="5"/>
  <c r="AK58" i="5"/>
  <c r="AK42" i="5"/>
  <c r="AK54" i="5"/>
  <c r="AK43" i="5"/>
  <c r="AK66" i="5"/>
  <c r="AK30" i="5"/>
  <c r="AK50" i="5"/>
  <c r="AK62" i="5"/>
  <c r="AK57" i="5"/>
  <c r="AK49" i="5"/>
  <c r="AK67" i="5"/>
  <c r="AK60" i="5"/>
  <c r="AK56" i="5"/>
  <c r="AK52" i="5"/>
  <c r="AK48" i="5"/>
  <c r="AK61" i="5"/>
  <c r="AK53" i="5"/>
  <c r="AK45" i="5"/>
  <c r="AK63" i="5"/>
  <c r="AK59" i="5"/>
  <c r="AK55" i="5"/>
  <c r="AK51" i="5"/>
  <c r="AK47" i="5"/>
  <c r="AB12" i="5"/>
  <c r="AB20" i="5"/>
  <c r="AB28" i="5"/>
  <c r="AB5" i="5"/>
  <c r="AB30" i="5" s="1"/>
  <c r="AB10" i="5"/>
  <c r="AB18" i="5"/>
  <c r="AB26" i="5"/>
  <c r="AB8" i="5"/>
  <c r="AB16" i="5"/>
  <c r="AB24" i="5"/>
  <c r="AB6" i="5"/>
  <c r="AB14" i="5"/>
  <c r="AB22" i="5"/>
  <c r="AB9" i="5"/>
  <c r="AB19" i="5"/>
  <c r="AB13" i="5"/>
  <c r="AB7" i="5"/>
  <c r="AB11" i="5"/>
  <c r="AB21" i="5"/>
  <c r="AB25" i="5"/>
  <c r="AB32" i="5"/>
  <c r="AB66" i="5"/>
  <c r="AB59" i="5"/>
  <c r="AB60" i="5"/>
  <c r="AB61" i="5"/>
  <c r="AB62" i="5"/>
  <c r="AB63" i="5"/>
  <c r="AB40" i="5"/>
  <c r="AB41" i="5"/>
  <c r="AB42" i="5"/>
  <c r="AB43" i="5"/>
  <c r="AB44" i="5"/>
  <c r="AB45" i="5"/>
  <c r="AB46" i="5"/>
  <c r="AB47" i="5"/>
  <c r="I6" i="5"/>
  <c r="I5" i="5"/>
  <c r="I8" i="5"/>
  <c r="J8" i="5" s="1"/>
  <c r="I18" i="5"/>
  <c r="I10" i="5"/>
  <c r="I26" i="5"/>
  <c r="I14" i="5"/>
  <c r="I24" i="5"/>
  <c r="I9" i="5"/>
  <c r="J9" i="5" s="1"/>
  <c r="I12" i="5"/>
  <c r="I15" i="5"/>
  <c r="I21" i="5"/>
  <c r="I27" i="5"/>
  <c r="J6" i="5"/>
  <c r="I17" i="5"/>
  <c r="I20" i="5"/>
  <c r="I23" i="5"/>
  <c r="J7" i="5"/>
  <c r="J5" i="5"/>
  <c r="T22" i="4"/>
  <c r="S22" i="4"/>
  <c r="R22" i="4"/>
  <c r="Q22" i="4"/>
  <c r="J22" i="4"/>
  <c r="D18" i="4"/>
  <c r="C5" i="4"/>
  <c r="G47" i="4" l="1"/>
  <c r="C47" i="4"/>
  <c r="G45" i="4"/>
  <c r="C45" i="4"/>
  <c r="D44" i="4"/>
  <c r="D43" i="4"/>
  <c r="D46" i="4" s="1"/>
  <c r="F47" i="4"/>
  <c r="F45" i="4"/>
  <c r="G44" i="4"/>
  <c r="C44" i="4"/>
  <c r="G43" i="4"/>
  <c r="G46" i="4" s="1"/>
  <c r="C46" i="4"/>
  <c r="E47" i="4"/>
  <c r="E45" i="4"/>
  <c r="F44" i="4"/>
  <c r="F43" i="4"/>
  <c r="F46" i="4" s="1"/>
  <c r="D47" i="4"/>
  <c r="D45" i="4"/>
  <c r="E44" i="4"/>
  <c r="E43" i="4"/>
  <c r="E46" i="4" s="1"/>
  <c r="AK65" i="5"/>
  <c r="AB65" i="5"/>
  <c r="J10" i="5"/>
  <c r="J11" i="5"/>
  <c r="J12" i="5"/>
  <c r="I19" i="5"/>
  <c r="I16" i="5"/>
  <c r="I22" i="5"/>
  <c r="I13" i="5"/>
  <c r="L34" i="4"/>
  <c r="R34" i="4" s="1"/>
  <c r="N25" i="4"/>
  <c r="T25" i="4" s="1"/>
  <c r="L30" i="4"/>
  <c r="R30" i="4" s="1"/>
  <c r="L26" i="4"/>
  <c r="R26" i="4" s="1"/>
  <c r="J27" i="4"/>
  <c r="P27" i="4" s="1"/>
  <c r="J23" i="4"/>
  <c r="P23" i="4" s="1"/>
  <c r="N29" i="4"/>
  <c r="T29" i="4" s="1"/>
  <c r="M23" i="4"/>
  <c r="S23" i="4" s="1"/>
  <c r="K24" i="4"/>
  <c r="Q24" i="4" s="1"/>
  <c r="M27" i="4"/>
  <c r="S27" i="4" s="1"/>
  <c r="K28" i="4"/>
  <c r="Q28" i="4" s="1"/>
  <c r="K32" i="4"/>
  <c r="M36" i="4"/>
  <c r="S36" i="4" s="1"/>
  <c r="M34" i="4"/>
  <c r="S34" i="4" s="1"/>
  <c r="K33" i="4"/>
  <c r="Q33" i="4" s="1"/>
  <c r="L32" i="4"/>
  <c r="N31" i="4"/>
  <c r="T31" i="4" s="1"/>
  <c r="J31" i="4"/>
  <c r="P31" i="4" s="1"/>
  <c r="K36" i="4"/>
  <c r="Q36" i="4" s="1"/>
  <c r="N23" i="4"/>
  <c r="T23" i="4" s="1"/>
  <c r="L24" i="4"/>
  <c r="R24" i="4" s="1"/>
  <c r="J25" i="4"/>
  <c r="P25" i="4" s="1"/>
  <c r="N27" i="4"/>
  <c r="T27" i="4" s="1"/>
  <c r="L28" i="4"/>
  <c r="R28" i="4" s="1"/>
  <c r="J29" i="4"/>
  <c r="P29" i="4" s="1"/>
  <c r="J33" i="4"/>
  <c r="P33" i="4" s="1"/>
  <c r="L36" i="4"/>
  <c r="R36" i="4" s="1"/>
  <c r="M25" i="4"/>
  <c r="S25" i="4" s="1"/>
  <c r="K26" i="4"/>
  <c r="M29" i="4"/>
  <c r="S29" i="4" s="1"/>
  <c r="K30" i="4"/>
  <c r="Q30" i="4" s="1"/>
  <c r="M31" i="4"/>
  <c r="S31" i="4" s="1"/>
  <c r="N33" i="4"/>
  <c r="T33" i="4" s="1"/>
  <c r="K23" i="4"/>
  <c r="M24" i="4"/>
  <c r="S24" i="4" s="1"/>
  <c r="K25" i="4"/>
  <c r="Q25" i="4" s="1"/>
  <c r="M26" i="4"/>
  <c r="S26" i="4" s="1"/>
  <c r="K27" i="4"/>
  <c r="Q27" i="4" s="1"/>
  <c r="M28" i="4"/>
  <c r="S28" i="4" s="1"/>
  <c r="K29" i="4"/>
  <c r="Q29" i="4" s="1"/>
  <c r="M30" i="4"/>
  <c r="S30" i="4" s="1"/>
  <c r="K31" i="4"/>
  <c r="Q31" i="4" s="1"/>
  <c r="M32" i="4"/>
  <c r="L33" i="4"/>
  <c r="R33" i="4" s="1"/>
  <c r="J34" i="4"/>
  <c r="P34" i="4" s="1"/>
  <c r="N34" i="4"/>
  <c r="T34" i="4" s="1"/>
  <c r="J36" i="4"/>
  <c r="P36" i="4" s="1"/>
  <c r="N36" i="4"/>
  <c r="T36" i="4" s="1"/>
  <c r="P22" i="4"/>
  <c r="L23" i="4"/>
  <c r="R23" i="4" s="1"/>
  <c r="J24" i="4"/>
  <c r="P24" i="4" s="1"/>
  <c r="N24" i="4"/>
  <c r="T24" i="4" s="1"/>
  <c r="L25" i="4"/>
  <c r="R25" i="4" s="1"/>
  <c r="J26" i="4"/>
  <c r="N26" i="4"/>
  <c r="L27" i="4"/>
  <c r="R27" i="4" s="1"/>
  <c r="J28" i="4"/>
  <c r="P28" i="4" s="1"/>
  <c r="N28" i="4"/>
  <c r="T28" i="4" s="1"/>
  <c r="L29" i="4"/>
  <c r="R29" i="4" s="1"/>
  <c r="J30" i="4"/>
  <c r="P30" i="4" s="1"/>
  <c r="N30" i="4"/>
  <c r="T30" i="4" s="1"/>
  <c r="L31" i="4"/>
  <c r="R31" i="4" s="1"/>
  <c r="J32" i="4"/>
  <c r="N32" i="4"/>
  <c r="M33" i="4"/>
  <c r="S33" i="4" s="1"/>
  <c r="K34" i="4"/>
  <c r="Q34" i="4" s="1"/>
  <c r="Q23" i="4" l="1"/>
  <c r="J17" i="5"/>
  <c r="J24" i="5"/>
  <c r="J23" i="5"/>
  <c r="J14" i="5"/>
  <c r="J16" i="5"/>
  <c r="J15" i="5"/>
  <c r="J20" i="5"/>
  <c r="J22" i="5"/>
  <c r="J18" i="5"/>
  <c r="J19" i="5"/>
  <c r="J21" i="5"/>
  <c r="J13" i="5"/>
  <c r="I28" i="5"/>
  <c r="I25" i="5"/>
  <c r="J31" i="5" s="1"/>
  <c r="L35" i="4"/>
  <c r="R35" i="4" s="1"/>
  <c r="M35" i="4"/>
  <c r="S35" i="4" s="1"/>
  <c r="J35" i="4"/>
  <c r="P35" i="4" s="1"/>
  <c r="P26" i="4"/>
  <c r="K35" i="4"/>
  <c r="Q35" i="4" s="1"/>
  <c r="Q26" i="4"/>
  <c r="T26" i="4"/>
  <c r="N35" i="4"/>
  <c r="T35" i="4" s="1"/>
  <c r="J32" i="5" l="1"/>
  <c r="J28" i="5"/>
  <c r="J26" i="5"/>
  <c r="J25" i="5"/>
  <c r="J27" i="5"/>
  <c r="G10" i="4"/>
  <c r="G11" i="4"/>
  <c r="F46" i="1"/>
  <c r="H46" i="1"/>
  <c r="J30" i="5" l="1"/>
  <c r="AQ6" i="1"/>
  <c r="AQ7" i="1"/>
  <c r="AQ5" i="1"/>
  <c r="AP5" i="1"/>
  <c r="AP6" i="1"/>
  <c r="AP7" i="1"/>
  <c r="AP4" i="1"/>
  <c r="AK6" i="1"/>
  <c r="AK7" i="1"/>
  <c r="AK5" i="1"/>
  <c r="AJ5" i="1"/>
  <c r="AJ6" i="1"/>
  <c r="AJ7" i="1"/>
  <c r="AJ4" i="1"/>
  <c r="AE6" i="1"/>
  <c r="AE7" i="1"/>
  <c r="AE5" i="1"/>
  <c r="AD5" i="1"/>
  <c r="AD6" i="1"/>
  <c r="AD7" i="1"/>
  <c r="AD4" i="1"/>
  <c r="AW26" i="1"/>
  <c r="AW23" i="1"/>
  <c r="AP24" i="1"/>
  <c r="AP25" i="1"/>
  <c r="AP26" i="1"/>
  <c r="AP23" i="1"/>
  <c r="AQ26" i="1"/>
  <c r="AQ23" i="1"/>
  <c r="AK26" i="1"/>
  <c r="AK23" i="1"/>
  <c r="AK15" i="1"/>
  <c r="AE26" i="1"/>
  <c r="AE23" i="1"/>
  <c r="AE15" i="1"/>
  <c r="W23" i="1"/>
  <c r="W15" i="1"/>
  <c r="AJ32" i="1"/>
  <c r="AV24" i="1" l="1"/>
  <c r="AV25" i="1"/>
  <c r="AV26" i="1"/>
  <c r="AV23" i="1"/>
  <c r="AV14" i="1"/>
  <c r="AW25" i="1"/>
  <c r="AW24" i="1"/>
  <c r="AK18" i="1"/>
  <c r="AQ25" i="1"/>
  <c r="AQ24" i="1"/>
  <c r="AP14" i="1"/>
  <c r="AK16" i="1"/>
  <c r="AO23" i="1"/>
  <c r="AO26" i="1"/>
  <c r="AK25" i="1"/>
  <c r="AK24" i="1"/>
  <c r="AJ24" i="1"/>
  <c r="AJ25" i="1"/>
  <c r="AJ26" i="1"/>
  <c r="AJ23" i="1"/>
  <c r="AD26" i="1"/>
  <c r="AE25" i="1"/>
  <c r="AD25" i="1"/>
  <c r="AE24" i="1"/>
  <c r="AD24" i="1"/>
  <c r="AD23" i="1"/>
  <c r="AK17" i="1"/>
  <c r="AJ15" i="1"/>
  <c r="AJ16" i="1"/>
  <c r="AJ17" i="1"/>
  <c r="AJ18" i="1"/>
  <c r="AJ14" i="1"/>
  <c r="AE17" i="1"/>
  <c r="AE18" i="1"/>
  <c r="AE16" i="1"/>
  <c r="AD15" i="1"/>
  <c r="AD16" i="1"/>
  <c r="AD17" i="1"/>
  <c r="AD18" i="1"/>
  <c r="AD14" i="1"/>
  <c r="AW18" i="1"/>
  <c r="AW15" i="1"/>
  <c r="AO18" i="1"/>
  <c r="AP18" i="1" s="1"/>
  <c r="AO15" i="1"/>
  <c r="AQ15" i="1" s="1"/>
  <c r="AC33" i="1"/>
  <c r="AC7" i="1"/>
  <c r="W25" i="1"/>
  <c r="W26" i="1"/>
  <c r="W24" i="1"/>
  <c r="V24" i="1"/>
  <c r="V25" i="1"/>
  <c r="V26" i="1"/>
  <c r="V23" i="1"/>
  <c r="W17" i="1"/>
  <c r="W18" i="1"/>
  <c r="W16" i="1"/>
  <c r="V17" i="1"/>
  <c r="V18" i="1"/>
  <c r="V16" i="1"/>
  <c r="AQ18" i="1" l="1"/>
  <c r="AV18" i="1"/>
  <c r="AV15" i="1"/>
  <c r="AP15" i="1"/>
  <c r="AO25" i="1"/>
  <c r="AO24" i="1"/>
  <c r="AO16" i="1"/>
  <c r="AO17" i="1"/>
  <c r="AU34" i="1"/>
  <c r="AU33" i="1"/>
  <c r="AU32" i="1"/>
  <c r="AO34" i="1"/>
  <c r="AO33" i="1"/>
  <c r="AO32" i="1"/>
  <c r="AI34" i="1"/>
  <c r="AI33" i="1"/>
  <c r="AI32" i="1"/>
  <c r="U36" i="1"/>
  <c r="U35" i="1"/>
  <c r="U34" i="1"/>
  <c r="AC32" i="1"/>
  <c r="AC34" i="1"/>
  <c r="AD32" i="1"/>
  <c r="AU7" i="1"/>
  <c r="AU6" i="1"/>
  <c r="AU5" i="1"/>
  <c r="AU4" i="1"/>
  <c r="AO7" i="1"/>
  <c r="AO6" i="1"/>
  <c r="AO5" i="1"/>
  <c r="AO4" i="1"/>
  <c r="AP31" i="1" s="1"/>
  <c r="AJ33" i="1"/>
  <c r="AJ31" i="1"/>
  <c r="AI8" i="1"/>
  <c r="AI7" i="1"/>
  <c r="AI6" i="1"/>
  <c r="AI5" i="1"/>
  <c r="AI4" i="1"/>
  <c r="AC5" i="1"/>
  <c r="AC4" i="1"/>
  <c r="AD31" i="1" s="1"/>
  <c r="AQ16" i="1" l="1"/>
  <c r="AP16" i="1"/>
  <c r="AW17" i="1"/>
  <c r="AV17" i="1"/>
  <c r="AV16" i="1"/>
  <c r="AW16" i="1"/>
  <c r="AQ17" i="1"/>
  <c r="AP17" i="1"/>
  <c r="AJ8" i="1"/>
  <c r="AK8" i="1"/>
  <c r="AI35" i="1"/>
  <c r="AJ34" i="1"/>
  <c r="AP33" i="1"/>
  <c r="AP32" i="1"/>
  <c r="AV32" i="1" l="1"/>
  <c r="AV33" i="1"/>
  <c r="AC8" i="1"/>
  <c r="AC6" i="1"/>
  <c r="AD33" i="1" s="1"/>
  <c r="V15" i="1"/>
  <c r="V14" i="1"/>
  <c r="AD34" i="1" l="1"/>
  <c r="AE8" i="1"/>
  <c r="AD8" i="1"/>
  <c r="AC35" i="1"/>
  <c r="AJ27" i="1"/>
  <c r="AK27" i="1"/>
  <c r="AJ19" i="1"/>
  <c r="AK19" i="1"/>
  <c r="AV31" i="1"/>
  <c r="E15" i="1" l="1"/>
  <c r="AE19" i="1" l="1"/>
  <c r="AD19" i="1"/>
  <c r="AE27" i="1"/>
  <c r="AD27" i="1"/>
  <c r="F47" i="1"/>
  <c r="F48" i="1"/>
  <c r="F49" i="1"/>
  <c r="N19" i="1"/>
  <c r="N18" i="1"/>
  <c r="N17" i="1"/>
  <c r="N16" i="1"/>
  <c r="N15" i="1"/>
  <c r="N8" i="1"/>
  <c r="N7" i="1"/>
  <c r="N6" i="1"/>
  <c r="N5" i="1"/>
  <c r="N4" i="1"/>
  <c r="U5" i="1"/>
  <c r="U4" i="1"/>
  <c r="E23" i="1"/>
  <c r="B47" i="1"/>
  <c r="B48" i="1"/>
  <c r="B49" i="1"/>
  <c r="E27" i="1"/>
  <c r="E26" i="1"/>
  <c r="E25" i="1"/>
  <c r="E24" i="1"/>
  <c r="E19" i="1"/>
  <c r="E18" i="1"/>
  <c r="E17" i="1"/>
  <c r="E16" i="1"/>
  <c r="E5" i="1"/>
  <c r="E6" i="1"/>
  <c r="E7" i="1"/>
  <c r="E8" i="1"/>
  <c r="E4" i="1"/>
  <c r="AW5" i="1" l="1"/>
  <c r="AV5" i="1"/>
  <c r="AV6" i="1"/>
  <c r="AW6" i="1"/>
  <c r="AV7" i="1"/>
  <c r="AW7" i="1"/>
  <c r="AV4" i="1"/>
  <c r="V4" i="1"/>
  <c r="H48" i="1"/>
  <c r="H49" i="1"/>
  <c r="H47" i="1"/>
  <c r="N23" i="1"/>
  <c r="M23" i="1" s="1"/>
  <c r="N24" i="1"/>
  <c r="W7" i="1"/>
  <c r="N25" i="1"/>
  <c r="N26" i="1"/>
  <c r="N27" i="1"/>
  <c r="W5" i="1"/>
  <c r="V5" i="1"/>
  <c r="V7" i="1"/>
  <c r="C33" i="1"/>
  <c r="D31" i="1"/>
  <c r="M24" i="1" l="1"/>
  <c r="L25" i="1"/>
  <c r="D32" i="1"/>
  <c r="L26" i="1" l="1"/>
  <c r="AO8" i="1" s="1"/>
  <c r="M25" i="1"/>
  <c r="U6" i="1"/>
  <c r="D33" i="1"/>
  <c r="C34" i="1"/>
  <c r="U37" i="1" l="1"/>
  <c r="AP34" i="1"/>
  <c r="AQ8" i="1"/>
  <c r="AP8" i="1"/>
  <c r="AO35" i="1"/>
  <c r="V6" i="1"/>
  <c r="W6" i="1"/>
  <c r="V8" i="1"/>
  <c r="W8" i="1"/>
  <c r="L27" i="1"/>
  <c r="M26" i="1"/>
  <c r="D34" i="1"/>
  <c r="C35" i="1"/>
  <c r="D35" i="1" s="1"/>
  <c r="M27" i="1" l="1"/>
  <c r="AU8" i="1"/>
  <c r="AO19" i="1"/>
  <c r="AO27" i="1"/>
  <c r="AP27" i="1" l="1"/>
  <c r="AQ27" i="1"/>
  <c r="AP19" i="1"/>
  <c r="AQ19" i="1"/>
  <c r="V19" i="1"/>
  <c r="W19" i="1"/>
  <c r="AU35" i="1"/>
  <c r="AV34" i="1"/>
  <c r="AV8" i="1"/>
  <c r="AW8" i="1"/>
  <c r="W27" i="1"/>
  <c r="V27" i="1"/>
  <c r="AW19" i="1" l="1"/>
  <c r="AV19" i="1"/>
  <c r="AV27" i="1"/>
  <c r="AW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L15" authorId="0" shapeId="0" xr:uid="{EED2A21E-52EA-4567-AB85-57D758A8EA1B}">
      <text>
        <r>
          <rPr>
            <b/>
            <sz val="9"/>
            <color indexed="81"/>
            <rFont val="Tahoma"/>
            <family val="2"/>
          </rPr>
          <t>Haynes, Jack:</t>
        </r>
        <r>
          <rPr>
            <sz val="9"/>
            <color indexed="81"/>
            <rFont val="Tahoma"/>
            <family val="2"/>
          </rPr>
          <t xml:space="preserve">
3.87 from 5kW HP normal continous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L15" authorId="0" shapeId="0" xr:uid="{84795EA5-BE80-481F-A4E7-8F02B470AB26}">
      <text>
        <r>
          <rPr>
            <b/>
            <sz val="9"/>
            <color indexed="81"/>
            <rFont val="Tahoma"/>
            <family val="2"/>
          </rPr>
          <t>Haynes, Jack:</t>
        </r>
        <r>
          <rPr>
            <sz val="9"/>
            <color indexed="81"/>
            <rFont val="Tahoma"/>
            <family val="2"/>
          </rPr>
          <t xml:space="preserve">
3.87 from 5kW HP normal continous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L15" authorId="0" shapeId="0" xr:uid="{1A26E5AE-CABD-4316-98C9-A77DBF11D1DB}">
      <text>
        <r>
          <rPr>
            <b/>
            <sz val="9"/>
            <color indexed="81"/>
            <rFont val="Tahoma"/>
            <family val="2"/>
          </rPr>
          <t>Haynes, Jack:</t>
        </r>
        <r>
          <rPr>
            <sz val="9"/>
            <color indexed="81"/>
            <rFont val="Tahoma"/>
            <family val="2"/>
          </rPr>
          <t xml:space="preserve">
3.87 from 5kW HP normal continous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L15" authorId="0" shapeId="0" xr:uid="{61594CDC-6697-494B-BA11-B54F57B2EB7E}">
      <text>
        <r>
          <rPr>
            <b/>
            <sz val="9"/>
            <color indexed="81"/>
            <rFont val="Tahoma"/>
            <family val="2"/>
          </rPr>
          <t>Haynes, Jack:</t>
        </r>
        <r>
          <rPr>
            <sz val="9"/>
            <color indexed="81"/>
            <rFont val="Tahoma"/>
            <family val="2"/>
          </rPr>
          <t xml:space="preserve">
3.87 from 5kW HP normal continous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L15" authorId="0" shapeId="0" xr:uid="{8FB1D2F5-1150-4F24-8B76-2EBE7616EE52}">
      <text>
        <r>
          <rPr>
            <b/>
            <sz val="9"/>
            <color indexed="81"/>
            <rFont val="Tahoma"/>
            <family val="2"/>
          </rPr>
          <t>Haynes, Jack:</t>
        </r>
        <r>
          <rPr>
            <sz val="9"/>
            <color indexed="81"/>
            <rFont val="Tahoma"/>
            <family val="2"/>
          </rPr>
          <t xml:space="preserve">
3.87 from 5kW HP normal continous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L15" authorId="0" shapeId="0" xr:uid="{723706F6-1D24-4B1C-A780-D4CB18C63E79}">
      <text>
        <r>
          <rPr>
            <b/>
            <sz val="9"/>
            <color indexed="81"/>
            <rFont val="Tahoma"/>
            <family val="2"/>
          </rPr>
          <t>Haynes, Jack:</t>
        </r>
        <r>
          <rPr>
            <sz val="9"/>
            <color indexed="81"/>
            <rFont val="Tahoma"/>
            <family val="2"/>
          </rPr>
          <t xml:space="preserve">
3.87 from 5kW HP normal continous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H10" authorId="0" shapeId="0" xr:uid="{07BE6BD6-F8FA-460F-9419-CEEB500E10F1}">
      <text>
        <r>
          <rPr>
            <b/>
            <sz val="9"/>
            <color indexed="81"/>
            <rFont val="Tahoma"/>
            <family val="2"/>
          </rPr>
          <t>Haynes, Jack:</t>
        </r>
        <r>
          <rPr>
            <sz val="9"/>
            <color indexed="81"/>
            <rFont val="Tahoma"/>
            <family val="2"/>
          </rPr>
          <t xml:space="preserve">
4.96/9 (worst case rating / Rated Power of Unit) 
</t>
        </r>
      </text>
    </comment>
    <comment ref="I10" authorId="0" shapeId="0" xr:uid="{FC77A75D-0BDC-415D-B9D2-00EE86CB14D9}">
      <text>
        <r>
          <rPr>
            <b/>
            <sz val="9"/>
            <color indexed="81"/>
            <rFont val="Tahoma"/>
            <family val="2"/>
          </rPr>
          <t>Haynes, Jack:</t>
        </r>
        <r>
          <rPr>
            <sz val="9"/>
            <color indexed="81"/>
            <rFont val="Tahoma"/>
            <family val="2"/>
          </rPr>
          <t xml:space="preserve">
[Worst Case + Backup (3kW unit)] /Rated power of Unit</t>
        </r>
      </text>
    </comment>
    <comment ref="J10" authorId="0" shapeId="0" xr:uid="{1C595412-FF38-4DA1-925A-5EF55D1F6100}">
      <text>
        <r>
          <rPr>
            <b/>
            <sz val="9"/>
            <color indexed="81"/>
            <rFont val="Tahoma"/>
            <family val="2"/>
          </rPr>
          <t>Haynes, Jack:</t>
        </r>
        <r>
          <rPr>
            <sz val="9"/>
            <color indexed="81"/>
            <rFont val="Tahoma"/>
            <family val="2"/>
          </rPr>
          <t xml:space="preserve">
Backup Setting Diversity (40% above Normal Worst Case)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J10" authorId="0" shapeId="0" xr:uid="{D94802B7-CA2E-474E-AEB6-71A61BA847CE}">
      <text>
        <r>
          <rPr>
            <b/>
            <sz val="9"/>
            <color indexed="81"/>
            <rFont val="Tahoma"/>
            <family val="2"/>
          </rPr>
          <t>Haynes, Jack:</t>
        </r>
        <r>
          <rPr>
            <sz val="9"/>
            <color indexed="81"/>
            <rFont val="Tahoma"/>
            <family val="2"/>
          </rPr>
          <t xml:space="preserve">
Backup Setting Diversity (40% above Normal Worst Case)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Haynes, Jack</author>
  </authors>
  <commentList>
    <comment ref="J9" authorId="0" shapeId="0" xr:uid="{5A6D2B69-96BE-4924-B87A-9F118EA59071}">
      <text>
        <r>
          <rPr>
            <b/>
            <sz val="9"/>
            <color indexed="81"/>
            <rFont val="Tahoma"/>
            <family val="2"/>
          </rPr>
          <t>Haynes, Jack:</t>
        </r>
        <r>
          <rPr>
            <sz val="9"/>
            <color indexed="81"/>
            <rFont val="Tahoma"/>
            <family val="2"/>
          </rPr>
          <t xml:space="preserve">
Backup Setting Diversity (40% above Normal Worst Case)</t>
        </r>
      </text>
    </comment>
  </commentList>
</comments>
</file>

<file path=xl/sharedStrings.xml><?xml version="1.0" encoding="utf-8"?>
<sst xmlns="http://schemas.openxmlformats.org/spreadsheetml/2006/main" count="2692" uniqueCount="417">
  <si>
    <t>Customers</t>
  </si>
  <si>
    <t>Mean</t>
  </si>
  <si>
    <t>St Dev</t>
  </si>
  <si>
    <t>St Dev %</t>
  </si>
  <si>
    <t>ADMD Calc 3.68kW EVSE Only</t>
  </si>
  <si>
    <t>ADMD Calc House only</t>
  </si>
  <si>
    <t>ADMD Calc 3.68kW EVSE + House</t>
  </si>
  <si>
    <t>ADMD Calc 7.36kW EVSE + House</t>
  </si>
  <si>
    <t>ADMD</t>
  </si>
  <si>
    <t>EV</t>
  </si>
  <si>
    <t xml:space="preserve">HP </t>
  </si>
  <si>
    <t>HP + EV</t>
  </si>
  <si>
    <t xml:space="preserve">Addition vs Standard </t>
  </si>
  <si>
    <t>%</t>
  </si>
  <si>
    <t>ADMD Calc 3.68kW Heat Pump Only</t>
  </si>
  <si>
    <t>ADMD Calc 3.68kW HP + House</t>
  </si>
  <si>
    <t>With 3.68kW EVSE</t>
  </si>
  <si>
    <t>With 7.36kW (or two 3.68) EVSE</t>
  </si>
  <si>
    <t>ADMD Calc 3.68kW HP + House + 7.36 kW EVSE</t>
  </si>
  <si>
    <t>DR Factor EV</t>
  </si>
  <si>
    <t>With 3.68kW HP + 7.36kW EVSE</t>
  </si>
  <si>
    <t>House only</t>
  </si>
  <si>
    <t>Increases at 50 customers (No Battery or PV)</t>
  </si>
  <si>
    <t>ADMD for 50 customers with Battery and PV</t>
  </si>
  <si>
    <t>With 3.68kW HP (10kW Heat Output)</t>
  </si>
  <si>
    <t>With 3.68kW EVSE + 3.68kWH Battery storage + 3kW PV</t>
  </si>
  <si>
    <t>With 7.36kW EVSE + 3.68kWH Battery storage + 3kW PV</t>
  </si>
  <si>
    <t>With 3.68kW HP + 3.68kWH Battery storage + 3kW PV</t>
  </si>
  <si>
    <t>With 3.68kWH Battery storage +3kW PV</t>
  </si>
  <si>
    <t>ADMD for 50 customers with Battery No PV</t>
  </si>
  <si>
    <t>Increases at 1 customers (No Battery or PV)</t>
  </si>
  <si>
    <t>ADMD for 1 customers with Battery No PV</t>
  </si>
  <si>
    <t>ADMD for 1 customers with Battery and PV</t>
  </si>
  <si>
    <t xml:space="preserve">With 3.68kWH Battery storage </t>
  </si>
  <si>
    <t xml:space="preserve">With 3.68kW EVSE + 3.68kWH Battery storage </t>
  </si>
  <si>
    <t xml:space="preserve">With 7.36kW EVSE + 3.68kWH Battery storage </t>
  </si>
  <si>
    <t xml:space="preserve">With 3.68kW HP + 3.68kWH Battery storage </t>
  </si>
  <si>
    <t>50 coefficients</t>
  </si>
  <si>
    <t>1 coefficients</t>
  </si>
  <si>
    <t>With 3.68kWH Battery storage</t>
  </si>
  <si>
    <t>Increases at 25 customers (No Battery or PV)</t>
  </si>
  <si>
    <t>Increases at 75 customers (No Battery or PV)</t>
  </si>
  <si>
    <t>Increases at 100 customers (No Battery or PV)</t>
  </si>
  <si>
    <t>ADMD for 25 customers with Battery No PV</t>
  </si>
  <si>
    <t>ADMD for 25 customers with Battery and PV</t>
  </si>
  <si>
    <t>ADMD for 75 customers with Battery No PV</t>
  </si>
  <si>
    <t>ADMD for 75 customers with Battery and PV</t>
  </si>
  <si>
    <t>ADMD for 100 customers with Battery No PV</t>
  </si>
  <si>
    <t>ADMD for 100 customers with Battery and PV</t>
  </si>
  <si>
    <t>25 coefficients</t>
  </si>
  <si>
    <t>75 coefficients</t>
  </si>
  <si>
    <t>100 coefficients</t>
  </si>
  <si>
    <t>Variables</t>
  </si>
  <si>
    <t>Battery Storage ?</t>
  </si>
  <si>
    <t>Options</t>
  </si>
  <si>
    <t>Yes or No</t>
  </si>
  <si>
    <t xml:space="preserve">0, 3.68 or 7.36 </t>
  </si>
  <si>
    <t>With 3.68kW HP + 7.36kW EVSE + 3.68kWH Battery storage +3kW PV</t>
  </si>
  <si>
    <t xml:space="preserve">With 3.68kW HP + 7.36kW EVSE + 3.68kWH Battery storage </t>
  </si>
  <si>
    <t>Yes</t>
  </si>
  <si>
    <t>Input</t>
  </si>
  <si>
    <t>Number of Customers on Feeder ?</t>
  </si>
  <si>
    <t>Size of Charger ?</t>
  </si>
  <si>
    <t>1, 25, 50 or 100</t>
  </si>
  <si>
    <t>HP</t>
  </si>
  <si>
    <t>BS</t>
  </si>
  <si>
    <t>PV</t>
  </si>
  <si>
    <t>S</t>
  </si>
  <si>
    <t>HP + BS + PV</t>
  </si>
  <si>
    <t>Real</t>
  </si>
  <si>
    <t>Calculated</t>
  </si>
  <si>
    <t>Error</t>
  </si>
  <si>
    <t>Overall Error</t>
  </si>
  <si>
    <t>Whole</t>
  </si>
  <si>
    <t>&gt;25</t>
  </si>
  <si>
    <t>PV on Roof ? (Must have battery)</t>
  </si>
  <si>
    <t>X^ Value</t>
  </si>
  <si>
    <t>Gradient</t>
  </si>
  <si>
    <t>EVSE</t>
  </si>
  <si>
    <t>Equation Factors</t>
  </si>
  <si>
    <t>Equipment Ratings</t>
  </si>
  <si>
    <t>Finding Value of Best Fit</t>
  </si>
  <si>
    <t>No</t>
  </si>
  <si>
    <t>Heat Pump Installed ?</t>
  </si>
  <si>
    <t>Storage Heating Installed ?</t>
  </si>
  <si>
    <t>Extreme Outside Temp ? (T &lt; - 5C)</t>
  </si>
  <si>
    <t>ADMD Normal Air Temp</t>
  </si>
  <si>
    <t xml:space="preserve">ADMD Extreme Air Temp </t>
  </si>
  <si>
    <t>Diff House to 3.68EV</t>
  </si>
  <si>
    <t>R 1 to 25</t>
  </si>
  <si>
    <t>R 25 to 50</t>
  </si>
  <si>
    <t>R 50 to 75</t>
  </si>
  <si>
    <t>R75 to 100</t>
  </si>
  <si>
    <t>1.18 Factor due to differnce between EV HO and HP HO values from NPG</t>
  </si>
  <si>
    <t>Differnce in starting ADMD for Batt vs NPG Paper</t>
  </si>
  <si>
    <t>Same as C V33</t>
  </si>
  <si>
    <t>Ratio of EV 3.68 kW to HP kW for Cust</t>
  </si>
  <si>
    <t>Ratio of EV 7.36 kW to HP kW for Cust</t>
  </si>
  <si>
    <t>Ratio of EV 7.36 kW + HP kW to HPkW for Cust</t>
  </si>
  <si>
    <t>Hour</t>
  </si>
  <si>
    <t>Time</t>
  </si>
  <si>
    <t>Load</t>
  </si>
  <si>
    <t>AHHD (G)</t>
  </si>
  <si>
    <t xml:space="preserve">Y= </t>
  </si>
  <si>
    <t>C = 3.68 kW/h Max</t>
  </si>
  <si>
    <t>D= 5kW/h Max</t>
  </si>
  <si>
    <t>% Peak Shaved</t>
  </si>
  <si>
    <t>Standalone</t>
  </si>
  <si>
    <t>With Heat Pump</t>
  </si>
  <si>
    <t>Capacity Needed</t>
  </si>
  <si>
    <t>Max Charge Rate</t>
  </si>
  <si>
    <t xml:space="preserve">Max Discharge Rate </t>
  </si>
  <si>
    <t>With 7.36kW EVSE</t>
  </si>
  <si>
    <t>S = 14 kWh</t>
  </si>
  <si>
    <t>S = 14 kwh</t>
  </si>
  <si>
    <t>Available Charge (kWh)</t>
  </si>
  <si>
    <t>Cuml. Batt Charge (kWh)</t>
  </si>
  <si>
    <t>With 7.36kW EVSE + HP</t>
  </si>
  <si>
    <t xml:space="preserve">LCTs at Property </t>
  </si>
  <si>
    <t xml:space="preserve">Battery Data </t>
  </si>
  <si>
    <t xml:space="preserve">Max Charge Rate </t>
  </si>
  <si>
    <t xml:space="preserve">Max Y = </t>
  </si>
  <si>
    <t>V 2 G</t>
  </si>
  <si>
    <t>N/A</t>
  </si>
  <si>
    <t>Cs = 50</t>
  </si>
  <si>
    <t>Is there a 60A current limitting device ?</t>
  </si>
  <si>
    <t>ADMD Current Limiter</t>
  </si>
  <si>
    <t xml:space="preserve">With 3.68kW EVSE + Battery storage </t>
  </si>
  <si>
    <t xml:space="preserve">With 7.36kW EVSE </t>
  </si>
  <si>
    <t>House</t>
  </si>
  <si>
    <t xml:space="preserve">With 3.68kW HP </t>
  </si>
  <si>
    <t xml:space="preserve">With 3.68kW HP + 7.36kW EVSE </t>
  </si>
  <si>
    <t xml:space="preserve">Capacity </t>
  </si>
  <si>
    <t xml:space="preserve">Charge Rate </t>
  </si>
  <si>
    <t xml:space="preserve">With 7.36kW EVSE +  Battery storage </t>
  </si>
  <si>
    <t xml:space="preserve">With 3.68kW HP + Battery storage </t>
  </si>
  <si>
    <t xml:space="preserve">With 3.68kW HP + 7.36kW EVSE + Battery storage </t>
  </si>
  <si>
    <t>Total Load Amps</t>
  </si>
  <si>
    <t>ADMD from Calc</t>
  </si>
  <si>
    <t>Total Load kVA</t>
  </si>
  <si>
    <t>Additional Load (KVA)</t>
  </si>
  <si>
    <t>Load (KVA)</t>
  </si>
  <si>
    <t>House + Pan HP Extr + EV + BES + PV</t>
  </si>
  <si>
    <t>House + Pan HP Extr + EV + BES</t>
  </si>
  <si>
    <t>House + Pan HP Extr + EV + PV</t>
  </si>
  <si>
    <t>House + Pan HP Extr + EV</t>
  </si>
  <si>
    <t>House + Pan HP Extr</t>
  </si>
  <si>
    <t>House + Pan HP + EV + BES + PV</t>
  </si>
  <si>
    <t>House + Pan HP + EV + BES</t>
  </si>
  <si>
    <t>House + Pan HP + EV + PV</t>
  </si>
  <si>
    <t>House + Pan HP + EV</t>
  </si>
  <si>
    <t>House + Pan HP</t>
  </si>
  <si>
    <t>House + 2EV</t>
  </si>
  <si>
    <t>House + EV</t>
  </si>
  <si>
    <t>100A fuse</t>
  </si>
  <si>
    <t xml:space="preserve">ADMD </t>
  </si>
  <si>
    <t>Percentage Over limiter</t>
  </si>
  <si>
    <t>60A Current limiter</t>
  </si>
  <si>
    <t>80A fuse</t>
  </si>
  <si>
    <t>For 25 Customers:</t>
  </si>
  <si>
    <t>60A fuse</t>
  </si>
  <si>
    <t>test</t>
  </si>
  <si>
    <t>For 1 customer:</t>
  </si>
  <si>
    <t>BES</t>
  </si>
  <si>
    <t>Extreme</t>
  </si>
  <si>
    <t>Also I think it is a believeable result as the original ADMD is over the threshold therefore the new ADMD is at the limit set by the current limiter</t>
  </si>
  <si>
    <t>current limit</t>
  </si>
  <si>
    <t>Normal</t>
  </si>
  <si>
    <t xml:space="preserve">Panasonic HP </t>
  </si>
  <si>
    <t>EV (fast charger)</t>
  </si>
  <si>
    <t>This result indicates that some LCT would be need to beswitched off (knocked out, most likely EV) might need to reflect the switching heiracrchy in the equation</t>
  </si>
  <si>
    <t>KVA</t>
  </si>
  <si>
    <t>Amps</t>
  </si>
  <si>
    <t>EV (slow charger)</t>
  </si>
  <si>
    <t>Only breach the 60 Amp limit when there is only 1 customer on the feeder</t>
  </si>
  <si>
    <t>House demand (100A fuse)</t>
  </si>
  <si>
    <t>80 and 100 amp limiters have negligible affects on ADMD as the current does not reach these limits</t>
  </si>
  <si>
    <t>House demand (80A fuse)</t>
  </si>
  <si>
    <t xml:space="preserve">If the limiter is in affect the, ADMD will decrease the same percentage as the current </t>
  </si>
  <si>
    <t>all instances use the fast EV as this is the worst case scenario</t>
  </si>
  <si>
    <t>House demand (60A fuse)</t>
  </si>
  <si>
    <t>Notes:</t>
  </si>
  <si>
    <t>Note:</t>
  </si>
  <si>
    <t>KVA-&gt; Amps</t>
  </si>
  <si>
    <t>Amps-&gt;kVA</t>
  </si>
  <si>
    <t>PV Agg Input (kWh)</t>
  </si>
  <si>
    <t>PV Additional Factor</t>
  </si>
  <si>
    <t>Batt ADMD</t>
  </si>
  <si>
    <t>Capacity to ADMD (kWh)</t>
  </si>
  <si>
    <t>Charge Rate to ADMD (kW/h)</t>
  </si>
  <si>
    <t xml:space="preserve">Relationships </t>
  </si>
  <si>
    <t>Total PV contribution</t>
  </si>
  <si>
    <t xml:space="preserve">New Threshold </t>
  </si>
  <si>
    <t xml:space="preserve">Percentage Total </t>
  </si>
  <si>
    <t>Per Hour reduction (24H)</t>
  </si>
  <si>
    <t>Calculated (Old 10kW HP)</t>
  </si>
  <si>
    <t xml:space="preserve">Increases a customers (No Battery or PV) </t>
  </si>
  <si>
    <t>Calculated *5kW Normal</t>
  </si>
  <si>
    <t>*5kW Power Cut</t>
  </si>
  <si>
    <t>Calculated *8kW Normal</t>
  </si>
  <si>
    <t>*8kW Power Cut</t>
  </si>
  <si>
    <t>Calculated *16kW Normal</t>
  </si>
  <si>
    <t>*16kW Power Cut</t>
  </si>
  <si>
    <t>ADMD Calc 5kW (Heat) HP + House</t>
  </si>
  <si>
    <t>ADMD Calc 3.68kW Heat Pump Only (obselete)</t>
  </si>
  <si>
    <t>ADMD Calc 5kW (Heat) HP + House + 7.36 kW EVSE</t>
  </si>
  <si>
    <t>ADMD Calc 8kW (Heat) HP + House</t>
  </si>
  <si>
    <t>ADMD Calc 8kW (Heat) HP + House + 7.36 kW EVSE</t>
  </si>
  <si>
    <t>ADMD Calc 16kW (Heat) HP + House</t>
  </si>
  <si>
    <t>ADMD Calc 16kW (Heat) HP + House + 7.36 kW EVSE</t>
  </si>
  <si>
    <r>
      <t xml:space="preserve">1.18 Factor due to differnce between EV HO and HP HO values from NPG </t>
    </r>
    <r>
      <rPr>
        <sz val="11"/>
        <color rgb="FFFF0000"/>
        <rFont val="Calibri"/>
        <family val="2"/>
        <scheme val="minor"/>
      </rPr>
      <t>(Negated by HP Peak in monring)</t>
    </r>
  </si>
  <si>
    <t>1.18 Factor due to differnce between EV HO and HP HO values from NPG (Negated)</t>
  </si>
  <si>
    <t>5KW Heat Pump Installed ?</t>
  </si>
  <si>
    <t>BackUp Batt Charge (kWh)</t>
  </si>
  <si>
    <t>Draw of HP KW</t>
  </si>
  <si>
    <t>8kW HP Norm</t>
  </si>
  <si>
    <t>8kW POWER CUT</t>
  </si>
  <si>
    <t>With 7.36kW EVSE + 8 KW HP</t>
  </si>
  <si>
    <t>With 7.36kW EVSE + HP POWC</t>
  </si>
  <si>
    <t>16kW HP Norm</t>
  </si>
  <si>
    <t>16kW POWER CUT</t>
  </si>
  <si>
    <t>Increases a customers Old Numbers</t>
  </si>
  <si>
    <t>Increases a customers New Numbers</t>
  </si>
  <si>
    <t xml:space="preserve">With 5kW (Heat Output) Heat Pump </t>
  </si>
  <si>
    <t xml:space="preserve">With 8kW (Heat Output) Heat Pump </t>
  </si>
  <si>
    <t xml:space="preserve">With 16kW (Heat Output) Heat Pump </t>
  </si>
  <si>
    <t>0, 5, 8 or 16</t>
  </si>
  <si>
    <t>With 7.36kW (or two 3.68) EVSE (No smart charging)</t>
  </si>
  <si>
    <t>With 7.36kW (or two 3.68) EVSE (With smart charging)</t>
  </si>
  <si>
    <t>With 5kW (Heat Output) Heat Pump + 7.36kW EVSE (No SC)</t>
  </si>
  <si>
    <t>With 8kW (Heat Output) Heat Pump + 7.36kW EVSE (No SC)</t>
  </si>
  <si>
    <t>With 8kW (Heat Output) Heat Pump + 7.36kW EVSE (With SC)</t>
  </si>
  <si>
    <t>With 5kW (Heat Output) Heat Pump + 7.36kW EVSE (With SC)</t>
  </si>
  <si>
    <t>With 3.68kW EVSE (No smart Charging (SC))</t>
  </si>
  <si>
    <t>With 16kW (Heat Output) Heat Pump + 7.36kW EVSE (No SC)</t>
  </si>
  <si>
    <t>With 16kW (Heat Output) Heat Pump + 7.36kW EVSE (With SC)</t>
  </si>
  <si>
    <t xml:space="preserve">With 5kW (Elec) Storage Heating </t>
  </si>
  <si>
    <t>With 5kW  (Elec) Storage Heating  + 7.36kW EVSE (No SC)</t>
  </si>
  <si>
    <t>With 5kW  (Elec) Storage Heating  + 7.36kW EVSE (With SC)</t>
  </si>
  <si>
    <t xml:space="preserve">With 8kW (Elec) Storage Heating </t>
  </si>
  <si>
    <t>With 8kW (Elec) Storage Heating  + 7.36kW EVSE (No SC)</t>
  </si>
  <si>
    <t>With 8kW (Elec) Storage Heating  + 7.36kW EVSE (With SC)</t>
  </si>
  <si>
    <t>With 16kW (Elec) Storage Heating</t>
  </si>
  <si>
    <t>With 16kW (Elec) Storage Heating + 7.36kW EVSE (No SC)</t>
  </si>
  <si>
    <t>With 16kW (Elec) Storage Heating + 7.36kW EVSE (With SC)</t>
  </si>
  <si>
    <t>0 to Number of Customers</t>
  </si>
  <si>
    <t>How many have storage heating ?</t>
  </si>
  <si>
    <t>How many have a 60A current limiting device ?</t>
  </si>
  <si>
    <t>Options / Ranges</t>
  </si>
  <si>
    <t>How many have Air Source Heat Pumps ?</t>
  </si>
  <si>
    <t>How many have Ground Source Heat Pumps ?</t>
  </si>
  <si>
    <t>How many have Hybrid Heat Pumps ?</t>
  </si>
  <si>
    <t>How many have EV Chargers ?</t>
  </si>
  <si>
    <t>Average HH ADMD Standard</t>
  </si>
  <si>
    <t>Average HH ADMD Cold Load</t>
  </si>
  <si>
    <t>Total Feeder ADMD Cold Load</t>
  </si>
  <si>
    <t>Total Feeder ADMD Standard</t>
  </si>
  <si>
    <t>Storage</t>
  </si>
  <si>
    <t>Do EV Chargers have Smart Charging (or are 3.68kW) ?</t>
  </si>
  <si>
    <t>How many have EV Chargers AND Heat Pumps ?</t>
  </si>
  <si>
    <t xml:space="preserve">Hybrid </t>
  </si>
  <si>
    <r>
      <rPr>
        <b/>
        <sz val="22"/>
        <color rgb="FFFFC000"/>
        <rFont val="Calibri"/>
        <family val="2"/>
        <scheme val="minor"/>
      </rPr>
      <t xml:space="preserve">Ground </t>
    </r>
    <r>
      <rPr>
        <b/>
        <sz val="22"/>
        <color theme="1"/>
        <rFont val="Calibri"/>
        <family val="2"/>
        <scheme val="minor"/>
      </rPr>
      <t>Source</t>
    </r>
  </si>
  <si>
    <t>How many have battery storage?</t>
  </si>
  <si>
    <t>Average size of GSHP? (kW Heat)</t>
  </si>
  <si>
    <t>Average size of ASHP? (kW Heat)</t>
  </si>
  <si>
    <t>Average size of HyHP? (kW Heat)</t>
  </si>
  <si>
    <t>Average size of Storage Heating? (kW Elec)</t>
  </si>
  <si>
    <t>Standard</t>
  </si>
  <si>
    <r>
      <t xml:space="preserve"> </t>
    </r>
    <r>
      <rPr>
        <b/>
        <sz val="18"/>
        <color theme="7" tint="-0.249977111117893"/>
        <rFont val="Calibri"/>
        <family val="2"/>
        <scheme val="minor"/>
      </rPr>
      <t>Ground</t>
    </r>
    <r>
      <rPr>
        <b/>
        <sz val="18"/>
        <color theme="1"/>
        <rFont val="Calibri"/>
        <family val="2"/>
        <scheme val="minor"/>
      </rPr>
      <t xml:space="preserve"> Source</t>
    </r>
  </si>
  <si>
    <t xml:space="preserve">Establish Diversity Level </t>
  </si>
  <si>
    <t xml:space="preserve">Calculate EV Total </t>
  </si>
  <si>
    <t>Calculate ASHP Total</t>
  </si>
  <si>
    <t xml:space="preserve">          Calculate 5kW ASHP Total</t>
  </si>
  <si>
    <t xml:space="preserve">          Calculate 8kW ASHP Total</t>
  </si>
  <si>
    <t xml:space="preserve">          Calculate 16kW ASHP Total</t>
  </si>
  <si>
    <t>Calculate GSHP Total</t>
  </si>
  <si>
    <t xml:space="preserve">          Calculate 5kW GSHP Total</t>
  </si>
  <si>
    <t xml:space="preserve">          Calculate 8kW GSHP Total</t>
  </si>
  <si>
    <t xml:space="preserve">          Calculate 16kW GSHP Total</t>
  </si>
  <si>
    <t>Calculate Hybrid Total</t>
  </si>
  <si>
    <t xml:space="preserve">          Calculate 5kW Hybrid Total</t>
  </si>
  <si>
    <t xml:space="preserve">          Calculate 8kW Hybrid Total</t>
  </si>
  <si>
    <t xml:space="preserve">          Calculate 16kW Hybrid Total</t>
  </si>
  <si>
    <t>Calculate Storage Heating Total</t>
  </si>
  <si>
    <t xml:space="preserve">          Calculate 5kW Storage Total</t>
  </si>
  <si>
    <t xml:space="preserve">          Calculate 8kW Storage Total</t>
  </si>
  <si>
    <t xml:space="preserve">          Calculate 16kW Storage Total</t>
  </si>
  <si>
    <t xml:space="preserve">          Calculate Non Smart Charge Value</t>
  </si>
  <si>
    <t xml:space="preserve">          Calculate Smart Charge Value</t>
  </si>
  <si>
    <t xml:space="preserve">Sub Total </t>
  </si>
  <si>
    <t xml:space="preserve">EV + HP Number </t>
  </si>
  <si>
    <t xml:space="preserve">Total ADMD </t>
  </si>
  <si>
    <r>
      <t xml:space="preserve">Reduce load by required level </t>
    </r>
    <r>
      <rPr>
        <b/>
        <sz val="11"/>
        <color theme="1"/>
        <rFont val="Calibri"/>
        <family val="2"/>
        <scheme val="minor"/>
      </rPr>
      <t>Sub Total 2</t>
    </r>
  </si>
  <si>
    <t xml:space="preserve">          Is Smart Charging Present ? </t>
  </si>
  <si>
    <t>Calculate Standalone Households Total (No LCTs)</t>
  </si>
  <si>
    <t>Average kW ADMD Per House Hold</t>
  </si>
  <si>
    <t xml:space="preserve">Calculate Battery ADMD Reduction Effect </t>
  </si>
  <si>
    <t>kW Output</t>
  </si>
  <si>
    <t>EVs</t>
  </si>
  <si>
    <t xml:space="preserve">          Non Smart Charge Value</t>
  </si>
  <si>
    <t xml:space="preserve">          Smart Charge Value</t>
  </si>
  <si>
    <t>Air Source Heat Pumps</t>
  </si>
  <si>
    <t xml:space="preserve">          8kW ASHP </t>
  </si>
  <si>
    <t xml:space="preserve">          5kW ASHP </t>
  </si>
  <si>
    <t xml:space="preserve">          16kW ASHP </t>
  </si>
  <si>
    <t xml:space="preserve">          5kW GSHP </t>
  </si>
  <si>
    <t xml:space="preserve">          8kW GSHP </t>
  </si>
  <si>
    <t xml:space="preserve">          16kW GSHP </t>
  </si>
  <si>
    <t>Ground Source Heat Pumps</t>
  </si>
  <si>
    <t xml:space="preserve">Hybrid Heat Pumps </t>
  </si>
  <si>
    <t xml:space="preserve">Assumptions </t>
  </si>
  <si>
    <t xml:space="preserve">Domestic EV Charge points are 7.36 kW as standard </t>
  </si>
  <si>
    <t>5kW equates to 1-2 bedroom house, 8kW to 3-4 bedroom house, 16kW to 5+ bedroom house</t>
  </si>
  <si>
    <t>Air Source Heat Pumps (ASHP)</t>
  </si>
  <si>
    <t>ASHPs here provide both water and space heating but DO NOT have backup heater</t>
  </si>
  <si>
    <t>The Hybrid system here provides both water and space heating but DOES NOT have backup heater</t>
  </si>
  <si>
    <t>The storage heating system provides only space heating</t>
  </si>
  <si>
    <t xml:space="preserve">Hybrid means bi-valent or switches to gas when outside temp drops below certain value. 8C threshold here. </t>
  </si>
  <si>
    <t>ASHPs here provide both water and space heating and incorporates a Direct Electric Heating Element (backup heater)</t>
  </si>
  <si>
    <t xml:space="preserve">Battery Storage </t>
  </si>
  <si>
    <t>"Smart charging" here means a control function that reduces EV charging demand during peak hours</t>
  </si>
  <si>
    <t>Cold Load Pickup</t>
  </si>
  <si>
    <t>Sufficient Battery Capacity means Battery Size in kWH must be at least 3 times that of ADMD without Battery</t>
  </si>
  <si>
    <t>For example if ADMD of property without battery was 3kW the battery would need at least 9kWh of capacity</t>
  </si>
  <si>
    <t>The approximation of diversity profile for ADMD vs number of customers can be seen in the graph below</t>
  </si>
  <si>
    <t xml:space="preserve">If sufficiently battery capacity is avaiable at the property or on the feeder the system can recuce ADMD by 40% of peak </t>
  </si>
  <si>
    <t xml:space="preserve">          5kW Hybrid</t>
  </si>
  <si>
    <t xml:space="preserve">          8kW Hybrid</t>
  </si>
  <si>
    <t xml:space="preserve">          16kW Hybrid </t>
  </si>
  <si>
    <t>Storage Heating</t>
  </si>
  <si>
    <t xml:space="preserve">          5kW Storage</t>
  </si>
  <si>
    <t xml:space="preserve">          8kW Storage </t>
  </si>
  <si>
    <t xml:space="preserve">          16kW Storage</t>
  </si>
  <si>
    <t>Undiversified Load Levels (kW electrical)</t>
  </si>
  <si>
    <t xml:space="preserve">Storage Heating </t>
  </si>
  <si>
    <t>All values in point above assume insulation is to 1990s standard or better</t>
  </si>
  <si>
    <t>Cold Load</t>
  </si>
  <si>
    <t xml:space="preserve">House Type </t>
  </si>
  <si>
    <t>m2</t>
  </si>
  <si>
    <t xml:space="preserve">Heat Pump (Heat kW output) Required 2010 insulation </t>
  </si>
  <si>
    <t xml:space="preserve">Heat Pump (Heat kW output) Required 1990 insulation </t>
  </si>
  <si>
    <t>% Delta</t>
  </si>
  <si>
    <t xml:space="preserve">Elec kW Draw Continous Worst Case </t>
  </si>
  <si>
    <t>Elec kW Draw Power Cut Worst Case</t>
  </si>
  <si>
    <t>Elec kW Draw Power Cut Average Case (No Batt)</t>
  </si>
  <si>
    <t>1 Bed Flat</t>
  </si>
  <si>
    <t xml:space="preserve">2 Bed Flat </t>
  </si>
  <si>
    <t>Bungalow</t>
  </si>
  <si>
    <t>Terraced</t>
  </si>
  <si>
    <t xml:space="preserve">Semi Detached </t>
  </si>
  <si>
    <t>Large Detached</t>
  </si>
  <si>
    <t>Ratio of "Rated"</t>
  </si>
  <si>
    <t>Div Fact</t>
  </si>
  <si>
    <t>Standard (~0.5)</t>
  </si>
  <si>
    <t>None (1)</t>
  </si>
  <si>
    <t>9 Terraced Houses Example 3HS 3MS 3LS</t>
  </si>
  <si>
    <t xml:space="preserve">Analysis </t>
  </si>
  <si>
    <t>Event</t>
  </si>
  <si>
    <t xml:space="preserve">Time </t>
  </si>
  <si>
    <t>P best Case</t>
  </si>
  <si>
    <t>P Worst Case</t>
  </si>
  <si>
    <t>Average</t>
  </si>
  <si>
    <t xml:space="preserve">% above normal </t>
  </si>
  <si>
    <t>Power On</t>
  </si>
  <si>
    <t>High Set</t>
  </si>
  <si>
    <t xml:space="preserve">Medium Set </t>
  </si>
  <si>
    <t>Low Set</t>
  </si>
  <si>
    <t xml:space="preserve">Cust </t>
  </si>
  <si>
    <t>GSHP Size Needed (kW)</t>
  </si>
  <si>
    <t>ASHP C</t>
  </si>
  <si>
    <t>Norm GSHP vs ASHP %</t>
  </si>
  <si>
    <t>ASHP PC</t>
  </si>
  <si>
    <t>PC GSHP vs ASHP %</t>
  </si>
  <si>
    <t>Ratio to "Rated"</t>
  </si>
  <si>
    <t>42%</t>
  </si>
  <si>
    <t xml:space="preserve">Ratio of 35/55 </t>
  </si>
  <si>
    <t>26*C Bandwith</t>
  </si>
  <si>
    <t>Size</t>
  </si>
  <si>
    <t>Typical Current @ B0/W35</t>
  </si>
  <si>
    <t>Typical Power @ B0/W55</t>
  </si>
  <si>
    <t>&lt;-</t>
  </si>
  <si>
    <t xml:space="preserve">Plugged in AND Charging </t>
  </si>
  <si>
    <t>Norm GSHP vs HyHP %</t>
  </si>
  <si>
    <t>PC HyHP vs ASHP %</t>
  </si>
  <si>
    <t>29%</t>
  </si>
  <si>
    <t>Altherma Hybrid System - ASHP section - Capacity, CoP and Running Current</t>
  </si>
  <si>
    <t>Typical House Heat Loss % of total at -5oC</t>
  </si>
  <si>
    <t>Ambient Air Temperature</t>
  </si>
  <si>
    <t>Heating Water Flow Temp. (oC)</t>
  </si>
  <si>
    <t>5 kW System</t>
  </si>
  <si>
    <t>8 kW System</t>
  </si>
  <si>
    <t>Heat Out (kW)</t>
  </si>
  <si>
    <t>CoP</t>
  </si>
  <si>
    <t>Current Drawn (A)</t>
  </si>
  <si>
    <t>Actual Price per kWh with gas</t>
  </si>
  <si>
    <t>Actual price per kWh with electricity (5kW)</t>
  </si>
  <si>
    <t>Actual price per kWh with electricity (8kW)</t>
  </si>
  <si>
    <t>20oC</t>
  </si>
  <si>
    <t>19oC</t>
  </si>
  <si>
    <t>Crossover point where electricity is cheaper per kWh for a 5kW system</t>
  </si>
  <si>
    <t>Crossover point where electricity is cheaper per kWh for a 8kW system</t>
  </si>
  <si>
    <t>Price of electricity per kWh (in pence)</t>
  </si>
  <si>
    <t>Price of gas per kWh (in pence)</t>
  </si>
  <si>
    <r>
      <t xml:space="preserve">Standard Conditions 
</t>
    </r>
    <r>
      <rPr>
        <b/>
        <sz val="18"/>
        <color theme="4"/>
        <rFont val="Calibri"/>
        <family val="2"/>
        <scheme val="minor"/>
      </rPr>
      <t>Air</t>
    </r>
    <r>
      <rPr>
        <b/>
        <sz val="18"/>
        <color theme="1"/>
        <rFont val="Calibri"/>
        <family val="2"/>
        <scheme val="minor"/>
      </rPr>
      <t xml:space="preserve"> Source </t>
    </r>
  </si>
  <si>
    <r>
      <rPr>
        <b/>
        <sz val="18"/>
        <color rgb="FFFF0000"/>
        <rFont val="Calibri"/>
        <family val="2"/>
        <scheme val="minor"/>
      </rPr>
      <t>Cold Load Pickup Conditions</t>
    </r>
    <r>
      <rPr>
        <b/>
        <sz val="18"/>
        <color theme="4"/>
        <rFont val="Calibri"/>
        <family val="2"/>
        <scheme val="minor"/>
      </rPr>
      <t xml:space="preserve">
Air</t>
    </r>
    <r>
      <rPr>
        <b/>
        <sz val="18"/>
        <color theme="1"/>
        <rFont val="Calibri"/>
        <family val="2"/>
        <scheme val="minor"/>
      </rPr>
      <t xml:space="preserve"> Source </t>
    </r>
  </si>
  <si>
    <t>User Input (3-4 Bedroom)</t>
  </si>
  <si>
    <t>User Input (5+ Bedroom)</t>
  </si>
  <si>
    <t xml:space="preserve">Grand Totals </t>
  </si>
  <si>
    <t xml:space="preserve">Total Diversity Level </t>
  </si>
  <si>
    <t>Total Standard Diversified</t>
  </si>
  <si>
    <t>Total CL Undiversified</t>
  </si>
  <si>
    <t>Total CL Diversified</t>
  </si>
  <si>
    <t xml:space="preserve">Total Standard Undiversified </t>
  </si>
  <si>
    <t>20 to 100</t>
  </si>
  <si>
    <t xml:space="preserve">User Input </t>
  </si>
  <si>
    <t xml:space="preserve">Number of Customers  on Feeder ? </t>
  </si>
  <si>
    <t xml:space="preserve">Standalone standard household value is around 2kW ADMD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</si>
</sst>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0"/>
  </numFmts>
  <fonts count="79" x14ac:knownFonts="1">
    <font>
      <sz val="11"/>
      <color theme="1"/>
      <name val="Calibri"/>
      <family val="2"/>
      <scheme val="minor"/>
    </font>
    <font>
      <sz val="11"/>
      <color theme="1"/>
      <name val="Times New Roman"/>
      <family val="1"/>
    </font>
    <font>
      <sz val="11"/>
      <color theme="0"/>
      <name val="Times New Roman"/>
      <family val="1"/>
    </font>
    <font>
      <sz val="11"/>
      <color theme="0"/>
      <name val="Calibri"/>
      <family val="2"/>
      <scheme val="minor"/>
    </font>
    <font>
      <sz val="11"/>
      <color rgb="FFFF0000"/>
      <name val="Calibri"/>
      <family val="2"/>
      <scheme val="minor"/>
    </font>
    <font>
      <b/>
      <sz val="11"/>
      <color theme="1"/>
      <name val="Times New Roman"/>
      <family val="1"/>
    </font>
    <font>
      <b/>
      <sz val="11"/>
      <color theme="1"/>
      <name val="Calibri"/>
      <family val="2"/>
      <scheme val="minor"/>
    </font>
    <font>
      <sz val="11"/>
      <name val="Times New Roman"/>
      <family val="1"/>
    </font>
    <font>
      <b/>
      <sz val="11"/>
      <name val="Times New Roman"/>
      <family val="1"/>
    </font>
    <font>
      <sz val="11"/>
      <name val="Calibri"/>
      <family val="2"/>
      <scheme val="minor"/>
    </font>
    <font>
      <sz val="11"/>
      <color theme="1"/>
      <name val="Calibri"/>
      <family val="2"/>
      <scheme val="minor"/>
    </font>
    <font>
      <sz val="11"/>
      <color theme="1"/>
      <name val="Calibri Light"/>
      <family val="2"/>
      <scheme val="major"/>
    </font>
    <font>
      <sz val="11"/>
      <color theme="5" tint="-0.249977111117893"/>
      <name val="Times New Roman"/>
      <family val="1"/>
    </font>
    <font>
      <sz val="11"/>
      <color theme="8" tint="-0.249977111117893"/>
      <name val="Times New Roman"/>
      <family val="1"/>
    </font>
    <font>
      <sz val="11"/>
      <color theme="9" tint="-0.249977111117893"/>
      <name val="Times New Roman"/>
      <family val="1"/>
    </font>
    <font>
      <b/>
      <sz val="11"/>
      <color theme="9" tint="-0.249977111117893"/>
      <name val="Times New Roman"/>
      <family val="1"/>
    </font>
    <font>
      <b/>
      <sz val="11"/>
      <color theme="8" tint="-0.249977111117893"/>
      <name val="Times New Roman"/>
      <family val="1"/>
    </font>
    <font>
      <sz val="11"/>
      <color theme="9" tint="-0.249977111117893"/>
      <name val="Calibri"/>
      <family val="2"/>
      <scheme val="minor"/>
    </font>
    <font>
      <b/>
      <sz val="11"/>
      <color rgb="FFFF0000"/>
      <name val="Calibri"/>
      <family val="2"/>
      <scheme val="minor"/>
    </font>
    <font>
      <b/>
      <sz val="11"/>
      <color theme="9" tint="-0.249977111117893"/>
      <name val="Calibri"/>
      <family val="2"/>
      <scheme val="minor"/>
    </font>
    <font>
      <b/>
      <sz val="11"/>
      <color theme="0" tint="-0.34998626667073579"/>
      <name val="Times New Roman"/>
      <family val="1"/>
    </font>
    <font>
      <sz val="11"/>
      <color theme="0" tint="-0.34998626667073579"/>
      <name val="Times New Roman"/>
      <family val="1"/>
    </font>
    <font>
      <b/>
      <sz val="11"/>
      <color theme="9"/>
      <name val="Times New Roman"/>
      <family val="1"/>
    </font>
    <font>
      <sz val="11"/>
      <color theme="9"/>
      <name val="Times New Roman"/>
      <family val="1"/>
    </font>
    <font>
      <b/>
      <sz val="11"/>
      <color theme="8"/>
      <name val="Times New Roman"/>
      <family val="1"/>
    </font>
    <font>
      <sz val="11"/>
      <color theme="8"/>
      <name val="Times New Roman"/>
      <family val="1"/>
    </font>
    <font>
      <b/>
      <sz val="11"/>
      <color theme="5" tint="-0.249977111117893"/>
      <name val="Times New Roman"/>
      <family val="1"/>
    </font>
    <font>
      <b/>
      <sz val="11"/>
      <color theme="4"/>
      <name val="Times New Roman"/>
      <family val="1"/>
    </font>
    <font>
      <sz val="11"/>
      <color theme="4"/>
      <name val="Times New Roman"/>
      <family val="1"/>
    </font>
    <font>
      <b/>
      <sz val="11"/>
      <color rgb="FF7030A0"/>
      <name val="Times New Roman"/>
      <family val="1"/>
    </font>
    <font>
      <sz val="11"/>
      <color rgb="FF7030A0"/>
      <name val="Times New Roman"/>
      <family val="1"/>
    </font>
    <font>
      <b/>
      <sz val="11"/>
      <color rgb="FFFF0000"/>
      <name val="Times New Roman"/>
      <family val="1"/>
    </font>
    <font>
      <b/>
      <sz val="11"/>
      <color rgb="FFFFC000"/>
      <name val="Times New Roman"/>
      <family val="1"/>
    </font>
    <font>
      <b/>
      <sz val="10"/>
      <color theme="1"/>
      <name val="Arial"/>
      <family val="2"/>
    </font>
    <font>
      <sz val="9"/>
      <color indexed="81"/>
      <name val="Tahoma"/>
      <family val="2"/>
    </font>
    <font>
      <b/>
      <sz val="9"/>
      <color indexed="81"/>
      <name val="Tahoma"/>
      <family val="2"/>
    </font>
    <font>
      <sz val="11"/>
      <color theme="7" tint="-0.249977111117893"/>
      <name val="Calibri"/>
      <family val="2"/>
      <scheme val="minor"/>
    </font>
    <font>
      <b/>
      <sz val="18"/>
      <color theme="1"/>
      <name val="Calibri"/>
      <family val="2"/>
      <scheme val="minor"/>
    </font>
    <font>
      <b/>
      <sz val="22"/>
      <color theme="1"/>
      <name val="Calibri"/>
      <family val="2"/>
      <scheme val="minor"/>
    </font>
    <font>
      <b/>
      <sz val="11"/>
      <color theme="9"/>
      <name val="Calibri"/>
      <family val="2"/>
      <scheme val="minor"/>
    </font>
    <font>
      <b/>
      <sz val="11"/>
      <color rgb="FF0070C0"/>
      <name val="Calibri"/>
      <family val="2"/>
      <scheme val="minor"/>
    </font>
    <font>
      <b/>
      <sz val="11"/>
      <color theme="5" tint="-0.249977111117893"/>
      <name val="Calibri"/>
      <family val="2"/>
      <scheme val="minor"/>
    </font>
    <font>
      <sz val="11"/>
      <color rgb="FF7030A0"/>
      <name val="Calibri"/>
      <family val="2"/>
      <scheme val="minor"/>
    </font>
    <font>
      <b/>
      <sz val="18"/>
      <color theme="4"/>
      <name val="Calibri"/>
      <family val="2"/>
      <scheme val="minor"/>
    </font>
    <font>
      <b/>
      <sz val="18"/>
      <color theme="7" tint="-0.249977111117893"/>
      <name val="Calibri"/>
      <family val="2"/>
      <scheme val="minor"/>
    </font>
    <font>
      <b/>
      <sz val="11"/>
      <color theme="7" tint="-0.249977111117893"/>
      <name val="Times New Roman"/>
      <family val="1"/>
    </font>
    <font>
      <sz val="11"/>
      <color theme="8" tint="-0.249977111117893"/>
      <name val="Calibri"/>
      <family val="2"/>
      <scheme val="minor"/>
    </font>
    <font>
      <sz val="11"/>
      <color rgb="FFFFC000"/>
      <name val="Calibri"/>
      <family val="2"/>
      <scheme val="minor"/>
    </font>
    <font>
      <b/>
      <sz val="22"/>
      <color rgb="FFFFC000"/>
      <name val="Calibri"/>
      <family val="2"/>
      <scheme val="minor"/>
    </font>
    <font>
      <b/>
      <sz val="22"/>
      <color rgb="FF7030A0"/>
      <name val="Calibri"/>
      <family val="2"/>
      <scheme val="minor"/>
    </font>
    <font>
      <b/>
      <sz val="11"/>
      <color theme="0"/>
      <name val="Times New Roman"/>
      <family val="1"/>
    </font>
    <font>
      <sz val="11"/>
      <color theme="8" tint="-0.499984740745262"/>
      <name val="Calibri"/>
      <family val="2"/>
      <scheme val="minor"/>
    </font>
    <font>
      <sz val="11"/>
      <color rgb="FFFF3399"/>
      <name val="Calibri"/>
      <family val="2"/>
      <scheme val="minor"/>
    </font>
    <font>
      <b/>
      <sz val="11"/>
      <name val="Calibri"/>
      <family val="2"/>
      <scheme val="minor"/>
    </font>
    <font>
      <b/>
      <sz val="11"/>
      <color theme="8" tint="-0.499984740745262"/>
      <name val="Calibri"/>
      <family val="2"/>
      <scheme val="minor"/>
    </font>
    <font>
      <b/>
      <sz val="11"/>
      <color theme="7" tint="-0.249977111117893"/>
      <name val="Calibri"/>
      <family val="2"/>
      <scheme val="minor"/>
    </font>
    <font>
      <b/>
      <sz val="11"/>
      <color rgb="FF7030A0"/>
      <name val="Calibri"/>
      <family val="2"/>
      <scheme val="minor"/>
    </font>
    <font>
      <b/>
      <sz val="11"/>
      <color rgb="FFFF3399"/>
      <name val="Calibri"/>
      <family val="2"/>
      <scheme val="minor"/>
    </font>
    <font>
      <b/>
      <sz val="11"/>
      <color rgb="FF000000"/>
      <name val="Calibri"/>
      <family val="2"/>
      <scheme val="minor"/>
    </font>
    <font>
      <b/>
      <sz val="11"/>
      <color theme="2" tint="-0.499984740745262"/>
      <name val="Calibri"/>
      <family val="2"/>
      <scheme val="minor"/>
    </font>
    <font>
      <b/>
      <sz val="11"/>
      <color theme="0" tint="-0.34998626667073579"/>
      <name val="Calibri"/>
      <family val="2"/>
      <scheme val="minor"/>
    </font>
    <font>
      <sz val="11"/>
      <color theme="0" tint="-0.34998626667073579"/>
      <name val="Calibri"/>
      <family val="2"/>
      <scheme val="minor"/>
    </font>
    <font>
      <sz val="11"/>
      <color theme="9"/>
      <name val="Calibri"/>
      <family val="2"/>
      <scheme val="minor"/>
    </font>
    <font>
      <b/>
      <sz val="11"/>
      <color theme="8"/>
      <name val="Calibri"/>
      <family val="2"/>
      <scheme val="minor"/>
    </font>
    <font>
      <sz val="11"/>
      <color rgb="FF9C5700"/>
      <name val="Calibri"/>
      <family val="2"/>
      <scheme val="minor"/>
    </font>
    <font>
      <sz val="11"/>
      <color rgb="FF3F3F76"/>
      <name val="Calibri"/>
      <family val="2"/>
      <scheme val="minor"/>
    </font>
    <font>
      <sz val="11"/>
      <color rgb="FFFF0000"/>
      <name val="Times New Roman"/>
      <family val="1"/>
    </font>
    <font>
      <sz val="11"/>
      <color theme="4" tint="-0.249977111117893"/>
      <name val="Calibri"/>
      <family val="2"/>
      <scheme val="minor"/>
    </font>
    <font>
      <sz val="11"/>
      <color theme="4" tint="-0.249977111117893"/>
      <name val="Times New Roman"/>
      <family val="1"/>
    </font>
    <font>
      <sz val="11"/>
      <color rgb="FF000000"/>
      <name val="Times New Roman"/>
      <family val="1"/>
    </font>
    <font>
      <sz val="11"/>
      <color theme="6" tint="0.39997558519241921"/>
      <name val="Calibri"/>
      <family val="2"/>
      <scheme val="minor"/>
    </font>
    <font>
      <b/>
      <u/>
      <sz val="11"/>
      <color theme="1"/>
      <name val="Calibri"/>
      <family val="2"/>
      <scheme val="minor"/>
    </font>
    <font>
      <sz val="10"/>
      <name val="Arial"/>
      <family val="2"/>
    </font>
    <font>
      <b/>
      <sz val="18"/>
      <color rgb="FFFF0000"/>
      <name val="Calibri"/>
      <family val="2"/>
      <scheme val="minor"/>
    </font>
    <font>
      <b/>
      <sz val="11"/>
      <color theme="0"/>
      <name val="Calibri"/>
      <family val="2"/>
      <scheme val="minor"/>
    </font>
    <font>
      <b/>
      <sz val="11"/>
      <color theme="9" tint="0.39997558519241921"/>
      <name val="Calibri"/>
      <family val="2"/>
      <scheme val="minor"/>
    </font>
    <font>
      <sz val="11"/>
      <color theme="9" tint="0.39997558519241921"/>
      <name val="Calibri"/>
      <family val="2"/>
      <scheme val="minor"/>
    </font>
    <font>
      <b/>
      <sz val="11"/>
      <color theme="9" tint="0.39997558519241921"/>
      <name val="Times New Roman"/>
      <family val="1"/>
    </font>
    <font>
      <b/>
      <sz val="18"/>
      <color theme="0"/>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theme="7"/>
        <bgColor indexed="64"/>
      </patternFill>
    </fill>
    <fill>
      <patternFill patternType="solid">
        <fgColor rgb="FFFF99FF"/>
        <bgColor indexed="64"/>
      </patternFill>
    </fill>
    <fill>
      <patternFill patternType="solid">
        <fgColor rgb="FF99FF99"/>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5"/>
      </patternFill>
    </fill>
    <fill>
      <patternFill patternType="solid">
        <fgColor rgb="FF00B0F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EB9C"/>
      </patternFill>
    </fill>
    <fill>
      <patternFill patternType="solid">
        <fgColor rgb="FFFFCC99"/>
      </patternFill>
    </fill>
    <fill>
      <patternFill patternType="solid">
        <fgColor theme="7" tint="0.399975585192419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xf numFmtId="9" fontId="10" fillId="0" borderId="0" applyFont="0" applyFill="0" applyBorder="0" applyAlignment="0" applyProtection="0"/>
    <xf numFmtId="0" fontId="10" fillId="0" borderId="0"/>
    <xf numFmtId="0" fontId="10" fillId="18" borderId="0" applyNumberFormat="0" applyBorder="0" applyAlignment="0" applyProtection="0"/>
    <xf numFmtId="0" fontId="64" fillId="22" borderId="0" applyNumberFormat="0" applyBorder="0" applyAlignment="0" applyProtection="0"/>
    <xf numFmtId="0" fontId="65" fillId="23" borderId="29" applyNumberFormat="0" applyAlignment="0" applyProtection="0"/>
  </cellStyleXfs>
  <cellXfs count="523">
    <xf numFmtId="0" fontId="0" fillId="0" borderId="0" xfId="0"/>
    <xf numFmtId="0" fontId="0" fillId="2" borderId="0" xfId="0" applyFill="1"/>
    <xf numFmtId="0" fontId="1" fillId="2" borderId="0" xfId="0" applyFont="1" applyFill="1" applyAlignment="1"/>
    <xf numFmtId="0" fontId="1" fillId="2" borderId="0" xfId="0" applyFont="1" applyFill="1"/>
    <xf numFmtId="0" fontId="1" fillId="2" borderId="0" xfId="0" applyFont="1" applyFill="1" applyAlignment="1">
      <alignment horizontal="center" vertical="center"/>
    </xf>
    <xf numFmtId="0" fontId="2" fillId="4" borderId="1" xfId="0" applyFont="1" applyFill="1" applyBorder="1" applyAlignment="1">
      <alignment horizontal="center" vertical="center"/>
    </xf>
    <xf numFmtId="2" fontId="1" fillId="3" borderId="1" xfId="0" applyNumberFormat="1" applyFont="1" applyFill="1" applyBorder="1" applyAlignment="1">
      <alignment horizontal="center" vertical="center"/>
    </xf>
    <xf numFmtId="2" fontId="1" fillId="2" borderId="1" xfId="0" applyNumberFormat="1" applyFont="1" applyFill="1" applyBorder="1" applyAlignment="1">
      <alignment horizontal="center" vertical="center"/>
    </xf>
    <xf numFmtId="2" fontId="1" fillId="2" borderId="0" xfId="0" applyNumberFormat="1" applyFont="1" applyFill="1" applyAlignment="1">
      <alignment horizontal="center" vertical="center"/>
    </xf>
    <xf numFmtId="2" fontId="1" fillId="5" borderId="1" xfId="0" applyNumberFormat="1" applyFont="1" applyFill="1" applyBorder="1" applyAlignment="1">
      <alignment horizontal="center" vertical="center"/>
    </xf>
    <xf numFmtId="2" fontId="1" fillId="0" borderId="0" xfId="0" applyNumberFormat="1" applyFont="1" applyAlignment="1">
      <alignment horizontal="center" vertical="center"/>
    </xf>
    <xf numFmtId="2" fontId="2" fillId="4" borderId="1" xfId="0" applyNumberFormat="1" applyFont="1" applyFill="1" applyBorder="1" applyAlignment="1">
      <alignment horizontal="center" vertical="center"/>
    </xf>
    <xf numFmtId="2" fontId="1" fillId="2" borderId="0" xfId="0" applyNumberFormat="1" applyFont="1" applyFill="1" applyBorder="1" applyAlignment="1">
      <alignment horizontal="center" vertical="center"/>
    </xf>
    <xf numFmtId="2" fontId="0" fillId="2" borderId="0" xfId="0" applyNumberFormat="1" applyFill="1"/>
    <xf numFmtId="0" fontId="2" fillId="6" borderId="1" xfId="0" applyFont="1" applyFill="1" applyBorder="1" applyAlignment="1">
      <alignment horizontal="center" vertical="center"/>
    </xf>
    <xf numFmtId="2" fontId="2" fillId="6" borderId="1" xfId="0" applyNumberFormat="1" applyFont="1" applyFill="1" applyBorder="1" applyAlignment="1">
      <alignment horizontal="center" vertical="center"/>
    </xf>
    <xf numFmtId="1" fontId="1" fillId="3" borderId="1" xfId="0" applyNumberFormat="1" applyFont="1" applyFill="1" applyBorder="1" applyAlignment="1">
      <alignment horizontal="center" vertical="center"/>
    </xf>
    <xf numFmtId="1" fontId="1" fillId="5" borderId="1" xfId="0" applyNumberFormat="1" applyFont="1" applyFill="1" applyBorder="1" applyAlignment="1">
      <alignment horizontal="center" vertical="center"/>
    </xf>
    <xf numFmtId="0" fontId="1" fillId="7" borderId="1" xfId="0" applyFont="1" applyFill="1" applyBorder="1" applyAlignment="1">
      <alignment horizontal="center" vertical="center"/>
    </xf>
    <xf numFmtId="0" fontId="2" fillId="8" borderId="1" xfId="0" applyFont="1" applyFill="1" applyBorder="1" applyAlignment="1">
      <alignment horizontal="center" vertical="center"/>
    </xf>
    <xf numFmtId="2" fontId="1" fillId="7" borderId="1" xfId="0" applyNumberFormat="1" applyFont="1" applyFill="1" applyBorder="1" applyAlignment="1">
      <alignment horizontal="center" vertical="center"/>
    </xf>
    <xf numFmtId="10" fontId="1" fillId="2" borderId="1" xfId="0" applyNumberFormat="1" applyFont="1" applyFill="1" applyBorder="1" applyAlignment="1">
      <alignment horizontal="center" vertical="center"/>
    </xf>
    <xf numFmtId="9" fontId="1" fillId="7" borderId="1" xfId="0" applyNumberFormat="1" applyFont="1" applyFill="1" applyBorder="1" applyAlignment="1">
      <alignment horizontal="center" vertical="center"/>
    </xf>
    <xf numFmtId="0" fontId="3" fillId="2" borderId="0" xfId="0" applyFont="1" applyFill="1"/>
    <xf numFmtId="0" fontId="0" fillId="0" borderId="1" xfId="0" applyBorder="1"/>
    <xf numFmtId="0" fontId="0" fillId="0" borderId="1" xfId="0" applyBorder="1" applyAlignment="1">
      <alignment horizontal="center" vertical="center"/>
    </xf>
    <xf numFmtId="0" fontId="4" fillId="2" borderId="0" xfId="0" applyFont="1" applyFill="1"/>
    <xf numFmtId="2" fontId="4" fillId="2" borderId="0" xfId="0" applyNumberFormat="1" applyFont="1" applyFill="1"/>
    <xf numFmtId="2" fontId="1" fillId="0" borderId="1" xfId="0" applyNumberFormat="1" applyFont="1" applyBorder="1" applyAlignment="1">
      <alignment horizontal="center" vertical="center"/>
    </xf>
    <xf numFmtId="2" fontId="5" fillId="2" borderId="1" xfId="0" applyNumberFormat="1" applyFont="1" applyFill="1" applyBorder="1" applyAlignment="1">
      <alignment horizontal="center" vertical="center"/>
    </xf>
    <xf numFmtId="0" fontId="0" fillId="9" borderId="1" xfId="0" applyFill="1" applyBorder="1"/>
    <xf numFmtId="0" fontId="0" fillId="7" borderId="1" xfId="0" applyFill="1" applyBorder="1"/>
    <xf numFmtId="0" fontId="0" fillId="12" borderId="1" xfId="0" applyFill="1" applyBorder="1"/>
    <xf numFmtId="0" fontId="1" fillId="3" borderId="1" xfId="0" applyFont="1" applyFill="1" applyBorder="1" applyAlignment="1">
      <alignment horizontal="center" vertical="center"/>
    </xf>
    <xf numFmtId="0" fontId="7" fillId="3" borderId="1" xfId="0" applyFont="1" applyFill="1" applyBorder="1" applyAlignment="1">
      <alignment horizontal="center" vertical="center"/>
    </xf>
    <xf numFmtId="2" fontId="8" fillId="2" borderId="1" xfId="0" applyNumberFormat="1" applyFont="1" applyFill="1" applyBorder="1" applyAlignment="1">
      <alignment horizontal="center" vertical="center"/>
    </xf>
    <xf numFmtId="9" fontId="5" fillId="2" borderId="1" xfId="0" applyNumberFormat="1" applyFont="1" applyFill="1" applyBorder="1" applyAlignment="1">
      <alignment horizontal="center" vertical="center"/>
    </xf>
    <xf numFmtId="2" fontId="5" fillId="13" borderId="1"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0" fontId="0" fillId="9" borderId="3" xfId="0" applyFill="1" applyBorder="1"/>
    <xf numFmtId="0" fontId="0" fillId="7" borderId="3" xfId="0" applyFill="1" applyBorder="1"/>
    <xf numFmtId="0" fontId="0" fillId="12" borderId="3" xfId="0" applyFill="1" applyBorder="1"/>
    <xf numFmtId="0" fontId="0" fillId="12" borderId="4" xfId="0" applyFill="1" applyBorder="1"/>
    <xf numFmtId="0" fontId="6" fillId="0" borderId="1" xfId="0" applyFont="1" applyBorder="1" applyAlignment="1">
      <alignment horizontal="center" vertical="center"/>
    </xf>
    <xf numFmtId="0" fontId="0" fillId="14" borderId="1" xfId="0" applyFill="1" applyBorder="1" applyAlignment="1">
      <alignment horizontal="center" vertical="center"/>
    </xf>
    <xf numFmtId="0" fontId="6" fillId="15" borderId="1" xfId="0" applyFont="1" applyFill="1" applyBorder="1"/>
    <xf numFmtId="0" fontId="0" fillId="14" borderId="1" xfId="0" applyFill="1" applyBorder="1"/>
    <xf numFmtId="0" fontId="6" fillId="15" borderId="1" xfId="0" applyFont="1" applyFill="1" applyBorder="1" applyAlignment="1">
      <alignment horizontal="center" vertical="center"/>
    </xf>
    <xf numFmtId="164" fontId="6" fillId="14" borderId="1" xfId="0" applyNumberFormat="1" applyFont="1" applyFill="1" applyBorder="1" applyAlignment="1">
      <alignment horizontal="center" vertical="center"/>
    </xf>
    <xf numFmtId="9" fontId="6" fillId="11" borderId="1" xfId="0" applyNumberFormat="1" applyFont="1" applyFill="1" applyBorder="1" applyAlignment="1">
      <alignment horizontal="center" vertical="center"/>
    </xf>
    <xf numFmtId="0" fontId="6" fillId="11" borderId="1" xfId="0" applyFont="1" applyFill="1" applyBorder="1" applyAlignment="1">
      <alignment horizontal="center" vertical="center"/>
    </xf>
    <xf numFmtId="1" fontId="1" fillId="3" borderId="0" xfId="0" applyNumberFormat="1" applyFont="1" applyFill="1" applyBorder="1" applyAlignment="1">
      <alignment horizontal="center" vertical="center"/>
    </xf>
    <xf numFmtId="2" fontId="1" fillId="3" borderId="0" xfId="0" applyNumberFormat="1" applyFont="1" applyFill="1" applyBorder="1" applyAlignment="1">
      <alignment horizontal="center" vertical="center"/>
    </xf>
    <xf numFmtId="10" fontId="1" fillId="2" borderId="0" xfId="0" applyNumberFormat="1" applyFont="1" applyFill="1" applyBorder="1" applyAlignment="1">
      <alignment horizontal="center" vertical="center"/>
    </xf>
    <xf numFmtId="1" fontId="1" fillId="5" borderId="0" xfId="0" applyNumberFormat="1" applyFont="1" applyFill="1" applyBorder="1" applyAlignment="1">
      <alignment horizontal="center" vertical="center"/>
    </xf>
    <xf numFmtId="2" fontId="1" fillId="5" borderId="0" xfId="0" applyNumberFormat="1" applyFont="1" applyFill="1" applyBorder="1" applyAlignment="1">
      <alignment horizontal="center" vertical="center"/>
    </xf>
    <xf numFmtId="0" fontId="1" fillId="7" borderId="0" xfId="0" applyFont="1" applyFill="1" applyBorder="1" applyAlignment="1">
      <alignment horizontal="center" vertical="center"/>
    </xf>
    <xf numFmtId="2" fontId="1" fillId="7" borderId="0" xfId="0" applyNumberFormat="1" applyFont="1" applyFill="1" applyBorder="1" applyAlignment="1">
      <alignment horizontal="center" vertical="center"/>
    </xf>
    <xf numFmtId="9" fontId="1" fillId="7" borderId="0" xfId="0" applyNumberFormat="1" applyFont="1" applyFill="1" applyBorder="1" applyAlignment="1">
      <alignment horizontal="center" vertical="center"/>
    </xf>
    <xf numFmtId="0" fontId="9" fillId="2" borderId="0" xfId="0" applyFont="1" applyFill="1"/>
    <xf numFmtId="0" fontId="1" fillId="2" borderId="14" xfId="0" applyFont="1" applyFill="1" applyBorder="1" applyAlignment="1">
      <alignment horizontal="center"/>
    </xf>
    <xf numFmtId="0" fontId="1" fillId="2" borderId="15" xfId="0" applyFont="1" applyFill="1" applyBorder="1" applyAlignment="1">
      <alignment horizontal="center"/>
    </xf>
    <xf numFmtId="0" fontId="1" fillId="2" borderId="16" xfId="0" applyFont="1" applyFill="1" applyBorder="1" applyAlignment="1">
      <alignment horizontal="center"/>
    </xf>
    <xf numFmtId="0" fontId="11" fillId="2" borderId="1" xfId="0" applyFont="1" applyFill="1" applyBorder="1"/>
    <xf numFmtId="0" fontId="0" fillId="2" borderId="10" xfId="0" applyFill="1" applyBorder="1"/>
    <xf numFmtId="0" fontId="0" fillId="2" borderId="17" xfId="0" applyFill="1" applyBorder="1"/>
    <xf numFmtId="0" fontId="0" fillId="2" borderId="12" xfId="0" applyFill="1" applyBorder="1"/>
    <xf numFmtId="0" fontId="0" fillId="2" borderId="13" xfId="0" applyFill="1" applyBorder="1" applyAlignment="1">
      <alignment horizontal="center" vertical="center"/>
    </xf>
    <xf numFmtId="0" fontId="6" fillId="2" borderId="13" xfId="0" applyFont="1" applyFill="1" applyBorder="1" applyAlignment="1">
      <alignment horizontal="center" vertical="center"/>
    </xf>
    <xf numFmtId="10" fontId="6" fillId="2" borderId="18" xfId="0" applyNumberFormat="1" applyFont="1" applyFill="1" applyBorder="1" applyAlignment="1">
      <alignment horizontal="center" vertical="center"/>
    </xf>
    <xf numFmtId="0" fontId="0" fillId="2" borderId="21" xfId="0" applyFill="1" applyBorder="1" applyAlignment="1">
      <alignment horizontal="center" vertical="center"/>
    </xf>
    <xf numFmtId="0" fontId="0" fillId="2" borderId="11" xfId="0" applyFill="1" applyBorder="1" applyAlignment="1">
      <alignment horizontal="center" vertical="center"/>
    </xf>
    <xf numFmtId="0" fontId="0" fillId="2" borderId="22" xfId="0" applyFill="1" applyBorder="1" applyAlignment="1">
      <alignment horizontal="center" vertical="center"/>
    </xf>
    <xf numFmtId="20" fontId="12" fillId="2" borderId="6" xfId="0" applyNumberFormat="1" applyFont="1" applyFill="1" applyBorder="1" applyAlignment="1">
      <alignment horizontal="center"/>
    </xf>
    <xf numFmtId="20" fontId="12" fillId="2" borderId="4" xfId="0" applyNumberFormat="1" applyFont="1" applyFill="1" applyBorder="1" applyAlignment="1">
      <alignment horizontal="center"/>
    </xf>
    <xf numFmtId="20" fontId="12" fillId="2" borderId="15" xfId="0" applyNumberFormat="1" applyFont="1" applyFill="1" applyBorder="1" applyAlignment="1">
      <alignment horizontal="center"/>
    </xf>
    <xf numFmtId="20" fontId="12" fillId="2" borderId="16" xfId="0" applyNumberFormat="1" applyFont="1" applyFill="1" applyBorder="1" applyAlignment="1">
      <alignment horizontal="center"/>
    </xf>
    <xf numFmtId="0" fontId="13" fillId="2" borderId="14" xfId="0" applyFont="1" applyFill="1" applyBorder="1" applyAlignment="1">
      <alignment horizontal="center"/>
    </xf>
    <xf numFmtId="0" fontId="13" fillId="2" borderId="15" xfId="0" applyFont="1" applyFill="1" applyBorder="1" applyAlignment="1">
      <alignment horizontal="center"/>
    </xf>
    <xf numFmtId="0" fontId="13" fillId="2" borderId="7" xfId="0" applyFont="1" applyFill="1" applyBorder="1" applyAlignment="1">
      <alignment horizontal="center"/>
    </xf>
    <xf numFmtId="0" fontId="13" fillId="2" borderId="9" xfId="0" applyFont="1" applyFill="1" applyBorder="1" applyAlignment="1">
      <alignment horizontal="center"/>
    </xf>
    <xf numFmtId="0" fontId="14" fillId="2" borderId="14" xfId="0" applyFont="1" applyFill="1" applyBorder="1" applyAlignment="1">
      <alignment horizontal="center"/>
    </xf>
    <xf numFmtId="0" fontId="14" fillId="2" borderId="15" xfId="0" applyFont="1" applyFill="1" applyBorder="1" applyAlignment="1">
      <alignment horizontal="center"/>
    </xf>
    <xf numFmtId="0" fontId="14" fillId="2" borderId="4" xfId="0" applyFont="1" applyFill="1" applyBorder="1" applyAlignment="1">
      <alignment horizontal="center"/>
    </xf>
    <xf numFmtId="0" fontId="14" fillId="2" borderId="8" xfId="0" applyFont="1" applyFill="1" applyBorder="1" applyAlignment="1">
      <alignment horizontal="center"/>
    </xf>
    <xf numFmtId="0" fontId="11" fillId="2" borderId="1" xfId="0" applyFont="1" applyFill="1" applyBorder="1" applyAlignment="1">
      <alignment horizontal="center"/>
    </xf>
    <xf numFmtId="0" fontId="6" fillId="2" borderId="21"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22" xfId="0" applyFont="1" applyFill="1" applyBorder="1" applyAlignment="1">
      <alignment horizontal="center" vertical="center"/>
    </xf>
    <xf numFmtId="2" fontId="15" fillId="2" borderId="14" xfId="0" applyNumberFormat="1" applyFont="1" applyFill="1" applyBorder="1" applyAlignment="1">
      <alignment horizontal="center"/>
    </xf>
    <xf numFmtId="2" fontId="15" fillId="2" borderId="15" xfId="0" applyNumberFormat="1" applyFont="1" applyFill="1" applyBorder="1" applyAlignment="1">
      <alignment horizontal="center"/>
    </xf>
    <xf numFmtId="2" fontId="16" fillId="2" borderId="14" xfId="0" applyNumberFormat="1" applyFont="1" applyFill="1" applyBorder="1" applyAlignment="1">
      <alignment horizontal="center"/>
    </xf>
    <xf numFmtId="2" fontId="16" fillId="2" borderId="15" xfId="0" applyNumberFormat="1" applyFont="1" applyFill="1" applyBorder="1" applyAlignment="1">
      <alignment horizontal="center"/>
    </xf>
    <xf numFmtId="2" fontId="6" fillId="2" borderId="19" xfId="0" applyNumberFormat="1" applyFont="1" applyFill="1" applyBorder="1" applyAlignment="1">
      <alignment horizontal="center" vertical="center"/>
    </xf>
    <xf numFmtId="2" fontId="6" fillId="2" borderId="20" xfId="0" applyNumberFormat="1" applyFont="1" applyFill="1" applyBorder="1" applyAlignment="1">
      <alignment horizontal="center" vertical="center"/>
    </xf>
    <xf numFmtId="10" fontId="6" fillId="2" borderId="18" xfId="1" applyNumberFormat="1" applyFont="1" applyFill="1" applyBorder="1" applyAlignment="1">
      <alignment horizontal="center" vertical="center"/>
    </xf>
    <xf numFmtId="2" fontId="18" fillId="2" borderId="19" xfId="0" applyNumberFormat="1" applyFont="1" applyFill="1" applyBorder="1" applyAlignment="1">
      <alignment horizontal="center" vertical="center"/>
    </xf>
    <xf numFmtId="2" fontId="5" fillId="2" borderId="14" xfId="0" applyNumberFormat="1" applyFont="1" applyFill="1" applyBorder="1" applyAlignment="1">
      <alignment horizontal="center"/>
    </xf>
    <xf numFmtId="2" fontId="5" fillId="2" borderId="15" xfId="0" applyNumberFormat="1" applyFont="1" applyFill="1" applyBorder="1" applyAlignment="1">
      <alignment horizontal="center"/>
    </xf>
    <xf numFmtId="2" fontId="5" fillId="2" borderId="16" xfId="0" applyNumberFormat="1" applyFont="1" applyFill="1" applyBorder="1" applyAlignment="1">
      <alignment horizontal="center"/>
    </xf>
    <xf numFmtId="0" fontId="19" fillId="2" borderId="11" xfId="0" applyFont="1" applyFill="1" applyBorder="1" applyAlignment="1">
      <alignment horizontal="center" vertical="center"/>
    </xf>
    <xf numFmtId="20" fontId="12" fillId="10" borderId="4" xfId="0" applyNumberFormat="1" applyFont="1" applyFill="1" applyBorder="1" applyAlignment="1">
      <alignment horizontal="center"/>
    </xf>
    <xf numFmtId="2" fontId="1" fillId="2" borderId="15" xfId="0" applyNumberFormat="1" applyFont="1" applyFill="1" applyBorder="1" applyAlignment="1">
      <alignment horizontal="center"/>
    </xf>
    <xf numFmtId="2" fontId="1" fillId="2" borderId="14" xfId="0" applyNumberFormat="1" applyFont="1" applyFill="1" applyBorder="1" applyAlignment="1">
      <alignment horizontal="center"/>
    </xf>
    <xf numFmtId="2" fontId="1" fillId="2" borderId="16" xfId="0" applyNumberFormat="1" applyFont="1" applyFill="1" applyBorder="1" applyAlignment="1">
      <alignment horizontal="center"/>
    </xf>
    <xf numFmtId="0" fontId="8" fillId="2" borderId="1" xfId="0" applyFont="1" applyFill="1" applyBorder="1" applyAlignment="1">
      <alignment horizontal="center"/>
    </xf>
    <xf numFmtId="0" fontId="20" fillId="2" borderId="1" xfId="0" applyFont="1" applyFill="1" applyBorder="1" applyAlignment="1">
      <alignment horizontal="left"/>
    </xf>
    <xf numFmtId="0" fontId="21" fillId="2" borderId="1" xfId="0" applyFont="1" applyFill="1" applyBorder="1" applyAlignment="1">
      <alignment horizontal="center"/>
    </xf>
    <xf numFmtId="0" fontId="20" fillId="2" borderId="1" xfId="0" applyFont="1" applyFill="1" applyBorder="1" applyAlignment="1">
      <alignment horizontal="center" vertical="center"/>
    </xf>
    <xf numFmtId="0" fontId="22" fillId="2" borderId="1" xfId="0" applyFont="1" applyFill="1" applyBorder="1" applyAlignment="1">
      <alignment horizontal="left"/>
    </xf>
    <xf numFmtId="0" fontId="23" fillId="2" borderId="1" xfId="0" applyFont="1" applyFill="1" applyBorder="1" applyAlignment="1">
      <alignment horizontal="center"/>
    </xf>
    <xf numFmtId="0" fontId="22" fillId="2" borderId="1" xfId="0" applyFont="1" applyFill="1" applyBorder="1" applyAlignment="1">
      <alignment horizontal="center" vertical="center"/>
    </xf>
    <xf numFmtId="0" fontId="24" fillId="2" borderId="1" xfId="0" applyFont="1" applyFill="1" applyBorder="1" applyAlignment="1">
      <alignment horizontal="left"/>
    </xf>
    <xf numFmtId="0" fontId="25" fillId="2" borderId="1" xfId="0" applyFont="1" applyFill="1" applyBorder="1" applyAlignment="1">
      <alignment horizontal="center"/>
    </xf>
    <xf numFmtId="0" fontId="24" fillId="2" borderId="1" xfId="0" applyFont="1" applyFill="1" applyBorder="1" applyAlignment="1">
      <alignment horizontal="center" vertical="center"/>
    </xf>
    <xf numFmtId="0" fontId="26" fillId="2" borderId="1" xfId="0" applyFont="1" applyFill="1" applyBorder="1" applyAlignment="1">
      <alignment horizontal="left"/>
    </xf>
    <xf numFmtId="0" fontId="12" fillId="2" borderId="1" xfId="0" applyFont="1" applyFill="1" applyBorder="1" applyAlignment="1">
      <alignment horizontal="center"/>
    </xf>
    <xf numFmtId="0" fontId="26" fillId="2" borderId="1" xfId="0" applyFont="1" applyFill="1" applyBorder="1" applyAlignment="1">
      <alignment horizontal="center" vertical="center"/>
    </xf>
    <xf numFmtId="0" fontId="27" fillId="2" borderId="1" xfId="0" applyFont="1" applyFill="1" applyBorder="1" applyAlignment="1">
      <alignment horizontal="left"/>
    </xf>
    <xf numFmtId="0" fontId="28" fillId="2" borderId="1" xfId="0" applyFont="1" applyFill="1" applyBorder="1" applyAlignment="1">
      <alignment horizontal="center"/>
    </xf>
    <xf numFmtId="0" fontId="27" fillId="2" borderId="1" xfId="0" applyFont="1" applyFill="1" applyBorder="1" applyAlignment="1">
      <alignment horizontal="center" vertical="center"/>
    </xf>
    <xf numFmtId="0" fontId="29" fillId="2" borderId="1" xfId="0" applyFont="1" applyFill="1" applyBorder="1" applyAlignment="1">
      <alignment horizontal="left"/>
    </xf>
    <xf numFmtId="0" fontId="30" fillId="2" borderId="1" xfId="0" applyFont="1" applyFill="1" applyBorder="1" applyAlignment="1">
      <alignment horizontal="center"/>
    </xf>
    <xf numFmtId="0" fontId="29" fillId="2" borderId="1" xfId="0" applyFont="1" applyFill="1" applyBorder="1" applyAlignment="1">
      <alignment horizontal="center" vertical="center"/>
    </xf>
    <xf numFmtId="0" fontId="5" fillId="0" borderId="1" xfId="0" applyFont="1" applyFill="1" applyBorder="1" applyAlignment="1">
      <alignment horizontal="center" vertical="center"/>
    </xf>
    <xf numFmtId="2" fontId="22" fillId="0" borderId="1" xfId="0" applyNumberFormat="1" applyFont="1" applyFill="1" applyBorder="1" applyAlignment="1">
      <alignment horizontal="center" vertical="center"/>
    </xf>
    <xf numFmtId="2" fontId="31" fillId="0" borderId="1" xfId="0" applyNumberFormat="1" applyFont="1" applyFill="1" applyBorder="1" applyAlignment="1">
      <alignment horizontal="center" vertical="center"/>
    </xf>
    <xf numFmtId="2" fontId="32" fillId="0" borderId="1" xfId="0" applyNumberFormat="1" applyFont="1" applyFill="1" applyBorder="1" applyAlignment="1">
      <alignment horizontal="center" vertical="center"/>
    </xf>
    <xf numFmtId="0" fontId="10" fillId="16" borderId="1" xfId="2" applyFill="1" applyBorder="1" applyAlignment="1">
      <alignment horizontal="center"/>
    </xf>
    <xf numFmtId="0" fontId="33" fillId="0" borderId="1" xfId="0" applyFont="1" applyBorder="1" applyAlignment="1">
      <alignment horizontal="center"/>
    </xf>
    <xf numFmtId="0" fontId="10" fillId="0" borderId="1" xfId="2" applyBorder="1" applyAlignment="1">
      <alignment horizontal="center"/>
    </xf>
    <xf numFmtId="0" fontId="0" fillId="0" borderId="1" xfId="2" applyFont="1" applyBorder="1" applyAlignment="1">
      <alignment horizontal="center"/>
    </xf>
    <xf numFmtId="2" fontId="10" fillId="16" borderId="1" xfId="2" applyNumberFormat="1" applyFill="1" applyBorder="1" applyAlignment="1">
      <alignment horizontal="center"/>
    </xf>
    <xf numFmtId="2" fontId="10" fillId="17" borderId="1" xfId="2" applyNumberFormat="1" applyFill="1" applyBorder="1" applyAlignment="1">
      <alignment horizontal="center"/>
    </xf>
    <xf numFmtId="0" fontId="10" fillId="0" borderId="0" xfId="2"/>
    <xf numFmtId="1" fontId="0" fillId="0" borderId="1" xfId="0" applyNumberFormat="1" applyBorder="1" applyAlignment="1">
      <alignment horizontal="center"/>
    </xf>
    <xf numFmtId="0" fontId="0" fillId="0" borderId="1" xfId="0" applyBorder="1" applyAlignment="1">
      <alignment horizontal="center"/>
    </xf>
    <xf numFmtId="0" fontId="10" fillId="0" borderId="1" xfId="2" applyFont="1" applyBorder="1" applyAlignment="1">
      <alignment horizontal="center" vertical="center" wrapText="1"/>
    </xf>
    <xf numFmtId="0" fontId="0" fillId="0" borderId="14" xfId="1" applyNumberFormat="1" applyFont="1" applyBorder="1" applyAlignment="1">
      <alignment horizontal="center" vertical="center" wrapText="1"/>
    </xf>
    <xf numFmtId="0" fontId="0" fillId="0" borderId="1" xfId="2" applyFont="1" applyBorder="1" applyAlignment="1">
      <alignment horizontal="center" vertical="center" wrapText="1"/>
    </xf>
    <xf numFmtId="0" fontId="10" fillId="0" borderId="1" xfId="2" applyFont="1" applyBorder="1" applyAlignment="1">
      <alignment horizontal="center" vertical="center"/>
    </xf>
    <xf numFmtId="0" fontId="10" fillId="0" borderId="0" xfId="2" applyBorder="1" applyAlignment="1">
      <alignment horizontal="center"/>
    </xf>
    <xf numFmtId="0" fontId="33" fillId="0" borderId="0" xfId="0" applyFont="1" applyBorder="1" applyAlignment="1">
      <alignment horizontal="center"/>
    </xf>
    <xf numFmtId="2" fontId="0" fillId="0" borderId="1" xfId="0" applyNumberFormat="1" applyBorder="1"/>
    <xf numFmtId="0" fontId="6" fillId="0" borderId="1" xfId="0" applyFont="1" applyBorder="1"/>
    <xf numFmtId="9" fontId="0" fillId="0" borderId="1" xfId="1" applyFont="1" applyBorder="1"/>
    <xf numFmtId="0" fontId="10" fillId="17" borderId="1" xfId="2" applyFill="1" applyBorder="1" applyAlignment="1">
      <alignment horizontal="center"/>
    </xf>
    <xf numFmtId="0" fontId="0" fillId="0" borderId="0" xfId="0" applyAlignment="1">
      <alignment horizontal="center"/>
    </xf>
    <xf numFmtId="0" fontId="10" fillId="0" borderId="0" xfId="2" applyAlignment="1">
      <alignment horizontal="center"/>
    </xf>
    <xf numFmtId="0" fontId="0" fillId="0" borderId="0" xfId="0" applyAlignment="1">
      <alignment horizontal="left" vertical="center" wrapText="1"/>
    </xf>
    <xf numFmtId="0" fontId="0" fillId="0" borderId="0" xfId="2" applyFont="1"/>
    <xf numFmtId="1" fontId="0" fillId="0" borderId="16" xfId="0" applyNumberFormat="1" applyFill="1" applyBorder="1" applyAlignment="1">
      <alignment horizontal="center" vertical="center"/>
    </xf>
    <xf numFmtId="0" fontId="10" fillId="11" borderId="1" xfId="2" applyFill="1" applyBorder="1" applyAlignment="1">
      <alignment horizontal="center" vertical="center"/>
    </xf>
    <xf numFmtId="0" fontId="0" fillId="0" borderId="1" xfId="2" applyFont="1" applyBorder="1" applyAlignment="1">
      <alignment horizontal="left"/>
    </xf>
    <xf numFmtId="0" fontId="10" fillId="11" borderId="16" xfId="2" applyFill="1" applyBorder="1" applyAlignment="1">
      <alignment horizontal="center" vertical="center"/>
    </xf>
    <xf numFmtId="0" fontId="10" fillId="0" borderId="16" xfId="2" applyFont="1" applyBorder="1" applyAlignment="1">
      <alignment horizontal="left"/>
    </xf>
    <xf numFmtId="1" fontId="0" fillId="0" borderId="15" xfId="0" applyNumberFormat="1" applyFill="1" applyBorder="1" applyAlignment="1">
      <alignment horizontal="center" vertical="center"/>
    </xf>
    <xf numFmtId="0" fontId="10" fillId="11" borderId="15" xfId="2" applyFill="1" applyBorder="1" applyAlignment="1">
      <alignment horizontal="center" vertical="center"/>
    </xf>
    <xf numFmtId="0" fontId="10" fillId="0" borderId="15" xfId="2" applyFont="1" applyBorder="1" applyAlignment="1">
      <alignment horizontal="left"/>
    </xf>
    <xf numFmtId="0" fontId="10" fillId="0" borderId="0" xfId="2" applyFont="1"/>
    <xf numFmtId="0" fontId="10" fillId="0" borderId="0" xfId="2" applyFont="1" applyAlignment="1">
      <alignment horizontal="center"/>
    </xf>
    <xf numFmtId="0" fontId="0" fillId="11" borderId="15" xfId="0" applyFill="1" applyBorder="1" applyAlignment="1">
      <alignment horizontal="center" vertical="center"/>
    </xf>
    <xf numFmtId="0" fontId="0" fillId="0" borderId="15" xfId="0" applyBorder="1" applyAlignment="1">
      <alignment horizontal="left"/>
    </xf>
    <xf numFmtId="1" fontId="0" fillId="0" borderId="14" xfId="0" applyNumberFormat="1" applyFill="1" applyBorder="1" applyAlignment="1">
      <alignment horizontal="center" vertical="center"/>
    </xf>
    <xf numFmtId="0" fontId="0" fillId="11" borderId="14" xfId="0" applyFill="1" applyBorder="1" applyAlignment="1">
      <alignment horizontal="center" vertical="center"/>
    </xf>
    <xf numFmtId="0" fontId="0" fillId="0" borderId="14" xfId="0" applyBorder="1" applyAlignment="1">
      <alignment horizontal="left"/>
    </xf>
    <xf numFmtId="0" fontId="10" fillId="0" borderId="5" xfId="2" applyFont="1" applyBorder="1" applyAlignment="1">
      <alignment vertical="center"/>
    </xf>
    <xf numFmtId="0" fontId="6" fillId="15" borderId="1" xfId="0" applyFont="1" applyFill="1" applyBorder="1" applyAlignment="1">
      <alignment horizontal="center"/>
    </xf>
    <xf numFmtId="0" fontId="6" fillId="2" borderId="21" xfId="0" applyFont="1" applyFill="1" applyBorder="1" applyAlignment="1">
      <alignment horizontal="center" vertical="center"/>
    </xf>
    <xf numFmtId="0" fontId="6" fillId="17" borderId="1" xfId="0" applyFont="1" applyFill="1" applyBorder="1"/>
    <xf numFmtId="2" fontId="5" fillId="2" borderId="5" xfId="0" applyNumberFormat="1" applyFont="1" applyFill="1" applyBorder="1" applyAlignment="1">
      <alignment horizontal="center" vertical="center"/>
    </xf>
    <xf numFmtId="0" fontId="0" fillId="19" borderId="1" xfId="0" applyFill="1" applyBorder="1"/>
    <xf numFmtId="20" fontId="12" fillId="2" borderId="8" xfId="0" applyNumberFormat="1" applyFont="1" applyFill="1" applyBorder="1" applyAlignment="1">
      <alignment horizontal="center"/>
    </xf>
    <xf numFmtId="0" fontId="0" fillId="2" borderId="14" xfId="0" applyFill="1" applyBorder="1"/>
    <xf numFmtId="0" fontId="0" fillId="2" borderId="15" xfId="0" applyFill="1" applyBorder="1"/>
    <xf numFmtId="0" fontId="0" fillId="2" borderId="16" xfId="0" applyFill="1" applyBorder="1"/>
    <xf numFmtId="9" fontId="0" fillId="2" borderId="16" xfId="1" applyFont="1" applyFill="1" applyBorder="1"/>
    <xf numFmtId="0" fontId="6" fillId="2" borderId="1" xfId="0" applyFont="1" applyFill="1" applyBorder="1"/>
    <xf numFmtId="2" fontId="5" fillId="2" borderId="6" xfId="0" applyNumberFormat="1" applyFont="1" applyFill="1" applyBorder="1" applyAlignment="1">
      <alignment horizontal="center"/>
    </xf>
    <xf numFmtId="2" fontId="5" fillId="2" borderId="4" xfId="0" applyNumberFormat="1" applyFont="1" applyFill="1" applyBorder="1" applyAlignment="1">
      <alignment horizontal="center"/>
    </xf>
    <xf numFmtId="2" fontId="5" fillId="2" borderId="8" xfId="0" applyNumberFormat="1" applyFont="1" applyFill="1" applyBorder="1" applyAlignment="1">
      <alignment horizontal="center"/>
    </xf>
    <xf numFmtId="2" fontId="16" fillId="2" borderId="28" xfId="0" applyNumberFormat="1" applyFont="1" applyFill="1" applyBorder="1" applyAlignment="1">
      <alignment horizontal="center"/>
    </xf>
    <xf numFmtId="2" fontId="16" fillId="2" borderId="7" xfId="0" applyNumberFormat="1" applyFont="1" applyFill="1" applyBorder="1" applyAlignment="1">
      <alignment horizontal="center"/>
    </xf>
    <xf numFmtId="0" fontId="11" fillId="2" borderId="14" xfId="0" applyFont="1" applyFill="1" applyBorder="1" applyAlignment="1">
      <alignment horizontal="center"/>
    </xf>
    <xf numFmtId="0" fontId="4" fillId="2" borderId="11" xfId="0" applyFont="1" applyFill="1" applyBorder="1" applyAlignment="1">
      <alignment horizontal="center" vertical="center"/>
    </xf>
    <xf numFmtId="0" fontId="4" fillId="2" borderId="23" xfId="0" applyFont="1" applyFill="1" applyBorder="1" applyAlignment="1">
      <alignment horizontal="center" vertical="center"/>
    </xf>
    <xf numFmtId="2" fontId="15" fillId="2" borderId="6" xfId="0" applyNumberFormat="1" applyFont="1" applyFill="1" applyBorder="1" applyAlignment="1">
      <alignment horizontal="center"/>
    </xf>
    <xf numFmtId="2" fontId="15" fillId="2" borderId="4" xfId="0" applyNumberFormat="1" applyFont="1" applyFill="1" applyBorder="1" applyAlignment="1">
      <alignment horizontal="center"/>
    </xf>
    <xf numFmtId="2" fontId="15" fillId="2" borderId="24" xfId="0" applyNumberFormat="1" applyFont="1" applyFill="1" applyBorder="1" applyAlignment="1">
      <alignment horizontal="center"/>
    </xf>
    <xf numFmtId="2" fontId="15" fillId="2" borderId="25" xfId="0" applyNumberFormat="1" applyFont="1" applyFill="1" applyBorder="1" applyAlignment="1">
      <alignment horizontal="center"/>
    </xf>
    <xf numFmtId="2" fontId="15" fillId="2" borderId="26" xfId="0" applyNumberFormat="1" applyFont="1" applyFill="1" applyBorder="1" applyAlignment="1">
      <alignment horizontal="center"/>
    </xf>
    <xf numFmtId="0" fontId="6" fillId="2" borderId="23" xfId="0" applyFont="1" applyFill="1" applyBorder="1" applyAlignment="1">
      <alignment horizontal="center" vertical="center"/>
    </xf>
    <xf numFmtId="0" fontId="6" fillId="2" borderId="0" xfId="0" applyFont="1" applyFill="1" applyBorder="1" applyAlignment="1">
      <alignment horizontal="center"/>
    </xf>
    <xf numFmtId="0" fontId="39" fillId="2" borderId="1" xfId="0" applyFont="1" applyFill="1" applyBorder="1"/>
    <xf numFmtId="0" fontId="40" fillId="2" borderId="1" xfId="0" applyFont="1" applyFill="1" applyBorder="1"/>
    <xf numFmtId="0" fontId="41" fillId="2" borderId="1" xfId="0" applyFont="1" applyFill="1" applyBorder="1"/>
    <xf numFmtId="0" fontId="18" fillId="2" borderId="1" xfId="0" applyFont="1" applyFill="1" applyBorder="1"/>
    <xf numFmtId="2" fontId="31" fillId="2" borderId="1" xfId="0" applyNumberFormat="1" applyFont="1" applyFill="1" applyBorder="1" applyAlignment="1">
      <alignment horizontal="center" vertical="center"/>
    </xf>
    <xf numFmtId="2" fontId="31" fillId="11" borderId="1" xfId="0" applyNumberFormat="1" applyFont="1" applyFill="1" applyBorder="1" applyAlignment="1">
      <alignment horizontal="center" vertical="center"/>
    </xf>
    <xf numFmtId="2" fontId="3" fillId="2" borderId="0" xfId="0" applyNumberFormat="1" applyFont="1" applyFill="1"/>
    <xf numFmtId="0" fontId="0" fillId="2" borderId="0" xfId="0" applyFont="1" applyFill="1"/>
    <xf numFmtId="0" fontId="5" fillId="0" borderId="0" xfId="0" applyFont="1" applyAlignment="1">
      <alignment horizontal="center" vertical="center"/>
    </xf>
    <xf numFmtId="2" fontId="22" fillId="2" borderId="1" xfId="0" applyNumberFormat="1" applyFont="1" applyFill="1" applyBorder="1" applyAlignment="1">
      <alignment horizontal="center" vertical="center"/>
    </xf>
    <xf numFmtId="0" fontId="46" fillId="2" borderId="0" xfId="0" applyFont="1" applyFill="1"/>
    <xf numFmtId="0" fontId="50" fillId="2" borderId="0" xfId="0" applyFont="1" applyFill="1" applyBorder="1" applyAlignment="1">
      <alignment horizontal="left"/>
    </xf>
    <xf numFmtId="0" fontId="1" fillId="2" borderId="1" xfId="0" applyFont="1" applyFill="1" applyBorder="1" applyAlignment="1">
      <alignment horizontal="center" vertical="center"/>
    </xf>
    <xf numFmtId="0" fontId="6" fillId="2" borderId="24" xfId="0" applyFont="1" applyFill="1" applyBorder="1"/>
    <xf numFmtId="0" fontId="19" fillId="2" borderId="25" xfId="0" applyFont="1" applyFill="1" applyBorder="1"/>
    <xf numFmtId="0" fontId="17" fillId="2" borderId="25" xfId="0" applyFont="1" applyFill="1" applyBorder="1"/>
    <xf numFmtId="0" fontId="54" fillId="2" borderId="25" xfId="0" applyFont="1" applyFill="1" applyBorder="1"/>
    <xf numFmtId="0" fontId="51" fillId="2" borderId="25" xfId="0" applyFont="1" applyFill="1" applyBorder="1"/>
    <xf numFmtId="0" fontId="55" fillId="2" borderId="25" xfId="0" applyFont="1" applyFill="1" applyBorder="1"/>
    <xf numFmtId="0" fontId="36" fillId="2" borderId="25" xfId="0" applyFont="1" applyFill="1" applyBorder="1"/>
    <xf numFmtId="0" fontId="56" fillId="2" borderId="25" xfId="0" applyFont="1" applyFill="1" applyBorder="1"/>
    <xf numFmtId="0" fontId="42" fillId="2" borderId="25" xfId="0" applyFont="1" applyFill="1" applyBorder="1"/>
    <xf numFmtId="0" fontId="18" fillId="2" borderId="25" xfId="0" applyFont="1" applyFill="1" applyBorder="1"/>
    <xf numFmtId="0" fontId="4" fillId="2" borderId="25" xfId="0" applyFont="1" applyFill="1" applyBorder="1"/>
    <xf numFmtId="0" fontId="53" fillId="2" borderId="25" xfId="0" applyFont="1" applyFill="1" applyBorder="1"/>
    <xf numFmtId="0" fontId="0" fillId="2" borderId="25" xfId="0" applyFill="1" applyBorder="1"/>
    <xf numFmtId="2" fontId="0" fillId="2" borderId="24" xfId="0" applyNumberFormat="1" applyFill="1" applyBorder="1" applyAlignment="1">
      <alignment horizontal="center" vertical="center"/>
    </xf>
    <xf numFmtId="2" fontId="17" fillId="2" borderId="25" xfId="0" applyNumberFormat="1" applyFont="1" applyFill="1" applyBorder="1" applyAlignment="1">
      <alignment horizontal="center" vertical="center"/>
    </xf>
    <xf numFmtId="2" fontId="51" fillId="2" borderId="25" xfId="0" applyNumberFormat="1" applyFont="1" applyFill="1" applyBorder="1" applyAlignment="1">
      <alignment horizontal="center" vertical="center"/>
    </xf>
    <xf numFmtId="2" fontId="0" fillId="2" borderId="25" xfId="0" applyNumberFormat="1" applyFill="1" applyBorder="1" applyAlignment="1">
      <alignment horizontal="center" vertical="center"/>
    </xf>
    <xf numFmtId="2" fontId="42" fillId="2" borderId="25" xfId="0" applyNumberFormat="1" applyFont="1" applyFill="1" applyBorder="1" applyAlignment="1">
      <alignment horizontal="center" vertical="center"/>
    </xf>
    <xf numFmtId="2" fontId="42" fillId="2" borderId="25" xfId="0" applyNumberFormat="1" applyFont="1" applyFill="1" applyBorder="1" applyAlignment="1">
      <alignment horizontal="center"/>
    </xf>
    <xf numFmtId="2" fontId="4" fillId="2" borderId="25" xfId="0" applyNumberFormat="1" applyFont="1" applyFill="1" applyBorder="1" applyAlignment="1">
      <alignment horizontal="center" vertical="center"/>
    </xf>
    <xf numFmtId="2" fontId="53" fillId="2" borderId="25" xfId="0" applyNumberFormat="1" applyFont="1" applyFill="1" applyBorder="1" applyAlignment="1">
      <alignment horizontal="center" vertical="center"/>
    </xf>
    <xf numFmtId="0" fontId="6" fillId="2" borderId="27" xfId="0" applyFont="1" applyFill="1" applyBorder="1" applyAlignment="1">
      <alignment horizontal="center" vertical="center"/>
    </xf>
    <xf numFmtId="2" fontId="47" fillId="2" borderId="25" xfId="0" applyNumberFormat="1" applyFont="1" applyFill="1" applyBorder="1" applyAlignment="1">
      <alignment horizontal="center" vertical="center"/>
    </xf>
    <xf numFmtId="2" fontId="54" fillId="2" borderId="25" xfId="0" applyNumberFormat="1" applyFont="1" applyFill="1" applyBorder="1" applyAlignment="1">
      <alignment horizontal="center" vertical="center"/>
    </xf>
    <xf numFmtId="2" fontId="55" fillId="2" borderId="25" xfId="0" applyNumberFormat="1" applyFont="1" applyFill="1" applyBorder="1" applyAlignment="1">
      <alignment horizontal="center" vertical="center"/>
    </xf>
    <xf numFmtId="2" fontId="56" fillId="2" borderId="25" xfId="0" applyNumberFormat="1" applyFont="1" applyFill="1" applyBorder="1" applyAlignment="1">
      <alignment horizontal="center" vertical="center"/>
    </xf>
    <xf numFmtId="2" fontId="18" fillId="2" borderId="25" xfId="0" applyNumberFormat="1" applyFont="1" applyFill="1" applyBorder="1" applyAlignment="1">
      <alignment horizontal="center" vertical="center"/>
    </xf>
    <xf numFmtId="2" fontId="57" fillId="2" borderId="26" xfId="0" applyNumberFormat="1" applyFont="1" applyFill="1" applyBorder="1" applyAlignment="1">
      <alignment horizontal="center"/>
    </xf>
    <xf numFmtId="2" fontId="0" fillId="2" borderId="0" xfId="0" applyNumberFormat="1" applyFill="1" applyBorder="1" applyAlignment="1">
      <alignment horizontal="center"/>
    </xf>
    <xf numFmtId="2" fontId="19" fillId="2" borderId="0" xfId="0" applyNumberFormat="1" applyFont="1" applyFill="1" applyBorder="1" applyAlignment="1">
      <alignment horizontal="center" vertical="top"/>
    </xf>
    <xf numFmtId="2" fontId="17" fillId="2" borderId="0" xfId="0" applyNumberFormat="1" applyFont="1" applyFill="1" applyBorder="1" applyAlignment="1">
      <alignment horizontal="center" vertical="top"/>
    </xf>
    <xf numFmtId="2" fontId="54" fillId="2" borderId="0" xfId="0" applyNumberFormat="1" applyFont="1" applyFill="1" applyBorder="1" applyAlignment="1">
      <alignment horizontal="center" vertical="top"/>
    </xf>
    <xf numFmtId="2" fontId="51" fillId="2" borderId="0" xfId="0" applyNumberFormat="1" applyFont="1" applyFill="1" applyBorder="1" applyAlignment="1">
      <alignment horizontal="center" vertical="top"/>
    </xf>
    <xf numFmtId="2" fontId="55" fillId="2" borderId="0" xfId="0" applyNumberFormat="1" applyFont="1" applyFill="1" applyBorder="1" applyAlignment="1">
      <alignment horizontal="center" vertical="top"/>
    </xf>
    <xf numFmtId="2" fontId="36" fillId="2" borderId="0" xfId="0" applyNumberFormat="1" applyFont="1" applyFill="1" applyBorder="1" applyAlignment="1">
      <alignment horizontal="center" vertical="top"/>
    </xf>
    <xf numFmtId="2" fontId="56" fillId="2" borderId="0" xfId="0" applyNumberFormat="1" applyFont="1" applyFill="1" applyBorder="1" applyAlignment="1">
      <alignment horizontal="center" vertical="top"/>
    </xf>
    <xf numFmtId="2" fontId="42" fillId="2" borderId="0" xfId="0" applyNumberFormat="1" applyFont="1" applyFill="1" applyBorder="1" applyAlignment="1">
      <alignment horizontal="center"/>
    </xf>
    <xf numFmtId="2" fontId="18" fillId="2" borderId="0" xfId="0" applyNumberFormat="1" applyFont="1" applyFill="1" applyBorder="1" applyAlignment="1">
      <alignment horizontal="center"/>
    </xf>
    <xf numFmtId="2" fontId="4" fillId="2" borderId="0" xfId="0" applyNumberFormat="1" applyFont="1" applyFill="1" applyBorder="1" applyAlignment="1">
      <alignment horizontal="center"/>
    </xf>
    <xf numFmtId="2" fontId="53" fillId="2" borderId="0" xfId="0" applyNumberFormat="1" applyFont="1" applyFill="1" applyBorder="1" applyAlignment="1">
      <alignment horizontal="center"/>
    </xf>
    <xf numFmtId="2" fontId="4" fillId="0" borderId="0" xfId="0" applyNumberFormat="1" applyFont="1" applyBorder="1" applyAlignment="1">
      <alignment horizontal="center" vertical="top"/>
    </xf>
    <xf numFmtId="2" fontId="0" fillId="2" borderId="0" xfId="0" applyNumberFormat="1" applyFill="1" applyBorder="1" applyAlignment="1">
      <alignment horizontal="center" vertical="top"/>
    </xf>
    <xf numFmtId="2" fontId="57" fillId="2" borderId="22" xfId="0" applyNumberFormat="1" applyFont="1" applyFill="1" applyBorder="1" applyAlignment="1">
      <alignment horizontal="center"/>
    </xf>
    <xf numFmtId="0" fontId="58" fillId="0" borderId="10" xfId="0" applyFont="1" applyBorder="1" applyAlignment="1">
      <alignment horizontal="center" vertical="center"/>
    </xf>
    <xf numFmtId="2" fontId="58" fillId="0" borderId="24" xfId="0" applyNumberFormat="1" applyFont="1" applyBorder="1" applyAlignment="1">
      <alignment horizontal="center" vertical="center"/>
    </xf>
    <xf numFmtId="0" fontId="58" fillId="2" borderId="12" xfId="0" applyFont="1" applyFill="1" applyBorder="1" applyAlignment="1">
      <alignment horizontal="center" vertical="center"/>
    </xf>
    <xf numFmtId="2" fontId="58" fillId="2" borderId="26" xfId="0" applyNumberFormat="1" applyFont="1" applyFill="1" applyBorder="1" applyAlignment="1">
      <alignment horizontal="center" vertical="center"/>
    </xf>
    <xf numFmtId="0" fontId="59" fillId="2" borderId="25" xfId="0" applyFont="1" applyFill="1" applyBorder="1"/>
    <xf numFmtId="2" fontId="59" fillId="0" borderId="0" xfId="0" applyNumberFormat="1" applyFont="1" applyAlignment="1">
      <alignment horizontal="center" vertical="center"/>
    </xf>
    <xf numFmtId="2" fontId="59" fillId="0" borderId="25" xfId="0" applyNumberFormat="1" applyFont="1" applyBorder="1" applyAlignment="1">
      <alignment horizontal="center" vertical="center"/>
    </xf>
    <xf numFmtId="0" fontId="57" fillId="2" borderId="26" xfId="0" applyFont="1" applyFill="1" applyBorder="1"/>
    <xf numFmtId="2" fontId="15" fillId="21" borderId="1" xfId="0" applyNumberFormat="1" applyFont="1" applyFill="1" applyBorder="1" applyAlignment="1">
      <alignment horizontal="center" vertical="center"/>
    </xf>
    <xf numFmtId="2" fontId="31" fillId="21"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0" fontId="57" fillId="2" borderId="23" xfId="0" applyFont="1" applyFill="1" applyBorder="1"/>
    <xf numFmtId="0" fontId="52" fillId="2" borderId="25" xfId="0" applyFont="1" applyFill="1" applyBorder="1"/>
    <xf numFmtId="0" fontId="19" fillId="2" borderId="24" xfId="0" applyFont="1" applyFill="1" applyBorder="1"/>
    <xf numFmtId="0" fontId="57" fillId="2" borderId="25" xfId="0" applyFont="1" applyFill="1" applyBorder="1"/>
    <xf numFmtId="0" fontId="52" fillId="0" borderId="25" xfId="0" applyFont="1" applyBorder="1"/>
    <xf numFmtId="0" fontId="58" fillId="2" borderId="23" xfId="0" applyFont="1" applyFill="1" applyBorder="1" applyAlignment="1">
      <alignment horizontal="left" vertical="center"/>
    </xf>
    <xf numFmtId="0" fontId="4" fillId="2" borderId="26" xfId="0" applyFont="1" applyFill="1" applyBorder="1"/>
    <xf numFmtId="2" fontId="4" fillId="2" borderId="22" xfId="0" applyNumberFormat="1" applyFont="1" applyFill="1" applyBorder="1" applyAlignment="1">
      <alignment horizontal="center"/>
    </xf>
    <xf numFmtId="2" fontId="4" fillId="2" borderId="26" xfId="0" applyNumberFormat="1" applyFont="1" applyFill="1" applyBorder="1" applyAlignment="1">
      <alignment horizontal="center" vertical="center"/>
    </xf>
    <xf numFmtId="2" fontId="17" fillId="2" borderId="24" xfId="0" applyNumberFormat="1" applyFont="1" applyFill="1" applyBorder="1" applyAlignment="1">
      <alignment horizontal="center" vertical="center"/>
    </xf>
    <xf numFmtId="0" fontId="60" fillId="2" borderId="1" xfId="0" applyFont="1" applyFill="1" applyBorder="1" applyAlignment="1">
      <alignment horizontal="left"/>
    </xf>
    <xf numFmtId="0" fontId="61" fillId="2" borderId="1" xfId="0" applyFont="1" applyFill="1" applyBorder="1" applyAlignment="1">
      <alignment horizontal="center"/>
    </xf>
    <xf numFmtId="0" fontId="39" fillId="2" borderId="1" xfId="0" applyFont="1" applyFill="1" applyBorder="1" applyAlignment="1">
      <alignment horizontal="left"/>
    </xf>
    <xf numFmtId="0" fontId="62" fillId="2" borderId="1" xfId="0" applyFont="1" applyFill="1" applyBorder="1" applyAlignment="1">
      <alignment horizontal="center"/>
    </xf>
    <xf numFmtId="0" fontId="18" fillId="2" borderId="1" xfId="0" applyFont="1" applyFill="1" applyBorder="1" applyAlignment="1">
      <alignment horizontal="left" vertical="center"/>
    </xf>
    <xf numFmtId="0" fontId="4" fillId="2" borderId="1" xfId="0" applyFont="1" applyFill="1" applyBorder="1" applyAlignment="1">
      <alignment horizontal="center"/>
    </xf>
    <xf numFmtId="0" fontId="63" fillId="2" borderId="1" xfId="0" applyFont="1" applyFill="1" applyBorder="1" applyAlignment="1">
      <alignment horizontal="left"/>
    </xf>
    <xf numFmtId="0" fontId="46" fillId="2" borderId="1" xfId="0" applyFont="1" applyFill="1" applyBorder="1" applyAlignment="1">
      <alignment horizontal="center"/>
    </xf>
    <xf numFmtId="0" fontId="55" fillId="2" borderId="1" xfId="0" applyFont="1" applyFill="1" applyBorder="1" applyAlignment="1">
      <alignment horizontal="left"/>
    </xf>
    <xf numFmtId="0" fontId="36" fillId="2" borderId="1" xfId="0" applyFont="1" applyFill="1" applyBorder="1" applyAlignment="1">
      <alignment horizontal="center"/>
    </xf>
    <xf numFmtId="0" fontId="56" fillId="2" borderId="1" xfId="0" applyFont="1" applyFill="1" applyBorder="1" applyAlignment="1">
      <alignment horizontal="left"/>
    </xf>
    <xf numFmtId="0" fontId="42" fillId="2" borderId="1" xfId="0" applyFont="1" applyFill="1" applyBorder="1" applyAlignment="1">
      <alignment horizontal="center"/>
    </xf>
    <xf numFmtId="0" fontId="53" fillId="2" borderId="1" xfId="0" applyFont="1" applyFill="1" applyBorder="1" applyAlignment="1">
      <alignment horizontal="center"/>
    </xf>
    <xf numFmtId="0" fontId="19" fillId="0" borderId="1" xfId="0" applyFont="1" applyFill="1" applyBorder="1" applyAlignment="1">
      <alignment horizontal="center" vertical="center"/>
    </xf>
    <xf numFmtId="0" fontId="19"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20" fillId="20" borderId="1" xfId="0" applyFont="1" applyFill="1" applyBorder="1" applyAlignment="1" applyProtection="1">
      <alignment horizontal="center" vertical="center"/>
      <protection locked="0"/>
    </xf>
    <xf numFmtId="0" fontId="22" fillId="20" borderId="1" xfId="0" applyFont="1" applyFill="1" applyBorder="1" applyAlignment="1" applyProtection="1">
      <alignment horizontal="center" vertical="center"/>
      <protection locked="0"/>
    </xf>
    <xf numFmtId="0" fontId="31" fillId="20" borderId="1" xfId="0" applyFont="1" applyFill="1" applyBorder="1" applyAlignment="1" applyProtection="1">
      <alignment horizontal="center" vertical="center"/>
      <protection locked="0"/>
    </xf>
    <xf numFmtId="0" fontId="24" fillId="20" borderId="1" xfId="0" applyFont="1" applyFill="1" applyBorder="1" applyAlignment="1" applyProtection="1">
      <alignment horizontal="center" vertical="center"/>
      <protection locked="0"/>
    </xf>
    <xf numFmtId="0" fontId="45" fillId="20" borderId="1" xfId="0" applyFont="1" applyFill="1" applyBorder="1" applyAlignment="1" applyProtection="1">
      <alignment horizontal="center" vertical="center"/>
      <protection locked="0"/>
    </xf>
    <xf numFmtId="0" fontId="29" fillId="20" borderId="1" xfId="0" applyFont="1" applyFill="1" applyBorder="1" applyAlignment="1" applyProtection="1">
      <alignment horizontal="center" vertical="center"/>
      <protection locked="0"/>
    </xf>
    <xf numFmtId="0" fontId="27" fillId="20" borderId="1" xfId="0" applyFont="1" applyFill="1" applyBorder="1" applyAlignment="1" applyProtection="1">
      <alignment horizontal="center" vertical="center"/>
      <protection locked="0"/>
    </xf>
    <xf numFmtId="0" fontId="26" fillId="20" borderId="1" xfId="0" applyFont="1" applyFill="1" applyBorder="1" applyAlignment="1" applyProtection="1">
      <alignment horizontal="center" vertical="center"/>
      <protection locked="0"/>
    </xf>
    <xf numFmtId="0" fontId="1" fillId="0" borderId="3" xfId="0" applyFont="1" applyBorder="1" applyAlignment="1">
      <alignment horizontal="center" vertical="center"/>
    </xf>
    <xf numFmtId="0" fontId="1" fillId="0" borderId="30" xfId="0" applyFont="1" applyBorder="1" applyAlignment="1">
      <alignment horizontal="center" vertical="center"/>
    </xf>
    <xf numFmtId="0" fontId="1" fillId="0" borderId="30" xfId="0" applyFont="1" applyBorder="1" applyAlignment="1">
      <alignment horizontal="center" vertical="center" wrapText="1"/>
    </xf>
    <xf numFmtId="0" fontId="1" fillId="0" borderId="5" xfId="0" applyFont="1" applyBorder="1" applyAlignment="1">
      <alignment horizontal="center" vertical="center" wrapText="1"/>
    </xf>
    <xf numFmtId="0" fontId="66" fillId="2" borderId="3" xfId="0" applyFont="1" applyFill="1" applyBorder="1"/>
    <xf numFmtId="0" fontId="66" fillId="2" borderId="27" xfId="0" applyFont="1" applyFill="1" applyBorder="1" applyAlignment="1">
      <alignment wrapText="1"/>
    </xf>
    <xf numFmtId="0" fontId="66" fillId="2" borderId="23" xfId="0" applyFont="1" applyFill="1" applyBorder="1" applyAlignment="1">
      <alignment wrapText="1"/>
    </xf>
    <xf numFmtId="0" fontId="1" fillId="0" borderId="1" xfId="0" applyFont="1" applyBorder="1" applyAlignment="1">
      <alignment horizontal="center" vertical="center"/>
    </xf>
    <xf numFmtId="9" fontId="1" fillId="2" borderId="1" xfId="1" applyFont="1" applyFill="1" applyBorder="1" applyAlignment="1">
      <alignment horizontal="center" vertical="center"/>
    </xf>
    <xf numFmtId="2" fontId="5" fillId="2" borderId="8" xfId="0" applyNumberFormat="1" applyFont="1" applyFill="1" applyBorder="1" applyAlignment="1">
      <alignment horizontal="center" vertical="center"/>
    </xf>
    <xf numFmtId="2" fontId="5" fillId="2" borderId="31" xfId="0" applyNumberFormat="1" applyFont="1" applyFill="1" applyBorder="1" applyAlignment="1">
      <alignment horizontal="center" vertical="center"/>
    </xf>
    <xf numFmtId="2" fontId="5" fillId="2" borderId="32" xfId="0" applyNumberFormat="1" applyFont="1" applyFill="1" applyBorder="1" applyAlignment="1">
      <alignment horizontal="center" vertical="center"/>
    </xf>
    <xf numFmtId="2" fontId="5" fillId="12" borderId="3" xfId="0" applyNumberFormat="1" applyFont="1" applyFill="1" applyBorder="1" applyAlignment="1">
      <alignment horizontal="center" vertical="center"/>
    </xf>
    <xf numFmtId="2" fontId="5" fillId="2" borderId="33" xfId="0" applyNumberFormat="1" applyFont="1" applyFill="1" applyBorder="1" applyAlignment="1">
      <alignment horizontal="center" vertical="center"/>
    </xf>
    <xf numFmtId="2" fontId="5" fillId="12" borderId="34" xfId="0" applyNumberFormat="1" applyFont="1" applyFill="1" applyBorder="1" applyAlignment="1">
      <alignment horizontal="center" vertical="center"/>
    </xf>
    <xf numFmtId="2" fontId="5" fillId="2" borderId="3" xfId="0" applyNumberFormat="1" applyFont="1" applyFill="1" applyBorder="1" applyAlignment="1">
      <alignment horizontal="center" vertical="center"/>
    </xf>
    <xf numFmtId="2" fontId="5" fillId="2" borderId="34" xfId="0" applyNumberFormat="1" applyFont="1" applyFill="1" applyBorder="1" applyAlignment="1">
      <alignment horizontal="center" vertical="center"/>
    </xf>
    <xf numFmtId="2" fontId="5" fillId="24" borderId="3" xfId="0" applyNumberFormat="1" applyFont="1" applyFill="1" applyBorder="1" applyAlignment="1">
      <alignment horizontal="center" vertical="center"/>
    </xf>
    <xf numFmtId="2" fontId="5" fillId="25" borderId="34" xfId="0" applyNumberFormat="1" applyFont="1" applyFill="1" applyBorder="1" applyAlignment="1">
      <alignment horizontal="center" vertical="center"/>
    </xf>
    <xf numFmtId="0" fontId="1" fillId="0" borderId="14" xfId="0" applyFont="1" applyBorder="1" applyAlignment="1">
      <alignment horizontal="center" vertical="center"/>
    </xf>
    <xf numFmtId="2" fontId="5" fillId="17" borderId="6" xfId="0" applyNumberFormat="1" applyFont="1" applyFill="1" applyBorder="1" applyAlignment="1">
      <alignment horizontal="center" vertical="center"/>
    </xf>
    <xf numFmtId="2" fontId="5" fillId="2" borderId="35" xfId="0" applyNumberFormat="1" applyFont="1" applyFill="1" applyBorder="1" applyAlignment="1">
      <alignment horizontal="center" vertical="center"/>
    </xf>
    <xf numFmtId="2" fontId="5" fillId="17" borderId="36" xfId="0" applyNumberFormat="1" applyFont="1" applyFill="1" applyBorder="1" applyAlignment="1">
      <alignment horizontal="center" vertical="center"/>
    </xf>
    <xf numFmtId="0" fontId="1" fillId="2" borderId="3" xfId="0" applyFont="1" applyFill="1" applyBorder="1" applyAlignment="1">
      <alignment horizontal="center" vertical="center"/>
    </xf>
    <xf numFmtId="0" fontId="1" fillId="2" borderId="30" xfId="0" applyFont="1" applyFill="1" applyBorder="1" applyAlignment="1">
      <alignment horizontal="center" vertical="center"/>
    </xf>
    <xf numFmtId="9" fontId="1" fillId="26" borderId="1" xfId="0" applyNumberFormat="1" applyFont="1" applyFill="1" applyBorder="1" applyAlignment="1">
      <alignment horizontal="center" vertical="center"/>
    </xf>
    <xf numFmtId="9" fontId="1" fillId="26" borderId="3" xfId="0" applyNumberFormat="1" applyFont="1" applyFill="1" applyBorder="1" applyAlignment="1">
      <alignment horizontal="center" vertical="center"/>
    </xf>
    <xf numFmtId="9" fontId="1" fillId="26" borderId="33" xfId="0" applyNumberFormat="1" applyFont="1" applyFill="1" applyBorder="1" applyAlignment="1">
      <alignment horizontal="center" vertical="center"/>
    </xf>
    <xf numFmtId="9" fontId="1" fillId="26" borderId="37" xfId="0" applyNumberFormat="1" applyFont="1" applyFill="1" applyBorder="1" applyAlignment="1">
      <alignment horizontal="center" vertical="center"/>
    </xf>
    <xf numFmtId="0" fontId="5" fillId="2" borderId="0" xfId="0" applyFont="1" applyFill="1" applyBorder="1" applyAlignment="1">
      <alignment horizontal="center" vertical="center"/>
    </xf>
    <xf numFmtId="9" fontId="5" fillId="26" borderId="1" xfId="1" applyNumberFormat="1" applyFont="1" applyFill="1" applyBorder="1" applyAlignment="1">
      <alignment horizontal="center" vertical="center"/>
    </xf>
    <xf numFmtId="9" fontId="5" fillId="26" borderId="3" xfId="1" applyNumberFormat="1" applyFont="1" applyFill="1" applyBorder="1" applyAlignment="1">
      <alignment horizontal="center" vertical="center"/>
    </xf>
    <xf numFmtId="9" fontId="5" fillId="26" borderId="38" xfId="1" applyNumberFormat="1" applyFont="1" applyFill="1" applyBorder="1" applyAlignment="1">
      <alignment horizontal="center" vertical="center"/>
    </xf>
    <xf numFmtId="9" fontId="31" fillId="26" borderId="39" xfId="1" applyNumberFormat="1" applyFont="1" applyFill="1" applyBorder="1" applyAlignment="1">
      <alignment horizontal="center" vertical="center"/>
    </xf>
    <xf numFmtId="0" fontId="0" fillId="2" borderId="0" xfId="0" applyFill="1" applyBorder="1"/>
    <xf numFmtId="0" fontId="0" fillId="2" borderId="23" xfId="0" applyFill="1" applyBorder="1"/>
    <xf numFmtId="0" fontId="67" fillId="2" borderId="23" xfId="0" applyFont="1" applyFill="1" applyBorder="1"/>
    <xf numFmtId="0" fontId="62" fillId="2" borderId="23" xfId="0" applyFont="1" applyFill="1" applyBorder="1"/>
    <xf numFmtId="0" fontId="4" fillId="2" borderId="23" xfId="0" applyFont="1" applyFill="1" applyBorder="1"/>
    <xf numFmtId="0" fontId="36" fillId="2" borderId="23" xfId="0" applyFont="1" applyFill="1" applyBorder="1"/>
    <xf numFmtId="0" fontId="0" fillId="2" borderId="41" xfId="0" applyFill="1" applyBorder="1"/>
    <xf numFmtId="0" fontId="6" fillId="2" borderId="25" xfId="0" applyFont="1" applyFill="1" applyBorder="1" applyAlignment="1">
      <alignment horizontal="center" vertical="center"/>
    </xf>
    <xf numFmtId="0" fontId="67" fillId="2" borderId="25" xfId="0" applyFont="1" applyFill="1" applyBorder="1" applyAlignment="1">
      <alignment horizontal="center" vertical="center"/>
    </xf>
    <xf numFmtId="0" fontId="17" fillId="2" borderId="25" xfId="0" applyFont="1" applyFill="1" applyBorder="1" applyAlignment="1">
      <alignment horizontal="center" vertical="center" wrapText="1"/>
    </xf>
    <xf numFmtId="0" fontId="4" fillId="2" borderId="25" xfId="0" applyFont="1" applyFill="1" applyBorder="1" applyAlignment="1">
      <alignment horizontal="center" vertical="center"/>
    </xf>
    <xf numFmtId="0" fontId="36" fillId="2" borderId="24" xfId="0" applyFont="1" applyFill="1" applyBorder="1" applyAlignment="1">
      <alignment horizontal="center" vertical="center"/>
    </xf>
    <xf numFmtId="0" fontId="17" fillId="2" borderId="25" xfId="0" applyFont="1" applyFill="1" applyBorder="1" applyAlignment="1">
      <alignment horizontal="center" vertical="center"/>
    </xf>
    <xf numFmtId="0" fontId="36" fillId="2" borderId="25" xfId="0" applyFont="1" applyFill="1" applyBorder="1" applyAlignment="1">
      <alignment horizontal="center" vertical="center"/>
    </xf>
    <xf numFmtId="9" fontId="0" fillId="2" borderId="42" xfId="1" applyFont="1" applyFill="1" applyBorder="1" applyAlignment="1">
      <alignment horizontal="center" vertical="center"/>
    </xf>
    <xf numFmtId="0" fontId="6" fillId="2" borderId="26" xfId="0" applyFont="1" applyFill="1" applyBorder="1" applyAlignment="1">
      <alignment horizontal="center" vertical="center"/>
    </xf>
    <xf numFmtId="0" fontId="67" fillId="2" borderId="26" xfId="0" applyFont="1" applyFill="1" applyBorder="1" applyAlignment="1">
      <alignment horizontal="center" vertical="center"/>
    </xf>
    <xf numFmtId="0" fontId="17" fillId="2" borderId="26" xfId="0" applyFont="1" applyFill="1" applyBorder="1" applyAlignment="1">
      <alignment horizontal="center" vertical="center"/>
    </xf>
    <xf numFmtId="0" fontId="4" fillId="2" borderId="26" xfId="0" applyFont="1" applyFill="1" applyBorder="1" applyAlignment="1">
      <alignment horizontal="center" vertical="center"/>
    </xf>
    <xf numFmtId="0" fontId="36" fillId="2" borderId="26" xfId="0" applyFont="1" applyFill="1" applyBorder="1" applyAlignment="1">
      <alignment horizontal="center" vertical="center"/>
    </xf>
    <xf numFmtId="9" fontId="0" fillId="2" borderId="13" xfId="1" applyFont="1" applyFill="1" applyBorder="1" applyAlignment="1">
      <alignment horizontal="center" vertical="center"/>
    </xf>
    <xf numFmtId="0" fontId="0" fillId="2" borderId="1" xfId="0" applyFill="1" applyBorder="1"/>
    <xf numFmtId="0" fontId="1" fillId="0" borderId="1" xfId="0" applyFont="1" applyBorder="1" applyAlignment="1">
      <alignment horizontal="center" vertical="center" wrapText="1"/>
    </xf>
    <xf numFmtId="0" fontId="68" fillId="2" borderId="1" xfId="0" applyFont="1" applyFill="1" applyBorder="1" applyAlignment="1">
      <alignment horizontal="center" vertical="top" wrapText="1"/>
    </xf>
    <xf numFmtId="0" fontId="69" fillId="2" borderId="0" xfId="0" applyFont="1" applyFill="1" applyAlignment="1">
      <alignment horizontal="center" vertical="center"/>
    </xf>
    <xf numFmtId="0" fontId="69" fillId="2" borderId="1" xfId="0" applyFont="1" applyFill="1" applyBorder="1" applyAlignment="1">
      <alignment horizontal="center" vertical="center"/>
    </xf>
    <xf numFmtId="10" fontId="69" fillId="2" borderId="1" xfId="0" applyNumberFormat="1" applyFont="1" applyFill="1" applyBorder="1" applyAlignment="1">
      <alignment horizontal="center" vertical="center"/>
    </xf>
    <xf numFmtId="10" fontId="0" fillId="0" borderId="0" xfId="0" applyNumberFormat="1" applyAlignment="1">
      <alignment horizontal="center"/>
    </xf>
    <xf numFmtId="0" fontId="42" fillId="2" borderId="1" xfId="0" applyFont="1" applyFill="1" applyBorder="1" applyAlignment="1">
      <alignment horizontal="center" vertical="center"/>
    </xf>
    <xf numFmtId="165" fontId="17" fillId="2" borderId="1" xfId="0" applyNumberFormat="1" applyFont="1" applyFill="1" applyBorder="1" applyAlignment="1">
      <alignment horizontal="center"/>
    </xf>
    <xf numFmtId="0" fontId="17" fillId="2" borderId="1" xfId="0" applyFont="1" applyFill="1" applyBorder="1" applyAlignment="1">
      <alignment horizontal="center" vertical="center"/>
    </xf>
    <xf numFmtId="165" fontId="17" fillId="2" borderId="1" xfId="0" applyNumberFormat="1" applyFont="1" applyFill="1" applyBorder="1" applyAlignment="1">
      <alignment horizontal="center" vertical="center"/>
    </xf>
    <xf numFmtId="0" fontId="70" fillId="27" borderId="0" xfId="0" applyFont="1" applyFill="1"/>
    <xf numFmtId="0" fontId="0" fillId="27" borderId="0" xfId="0" applyFill="1"/>
    <xf numFmtId="0" fontId="70" fillId="28" borderId="0" xfId="0" applyFont="1" applyFill="1"/>
    <xf numFmtId="0" fontId="0" fillId="28" borderId="0" xfId="0" applyFill="1"/>
    <xf numFmtId="0" fontId="0" fillId="0" borderId="17" xfId="0" applyBorder="1"/>
    <xf numFmtId="0" fontId="0" fillId="0" borderId="0" xfId="0" applyBorder="1" applyAlignment="1">
      <alignment horizontal="center" vertical="center"/>
    </xf>
    <xf numFmtId="0" fontId="0" fillId="0" borderId="42" xfId="0" applyBorder="1"/>
    <xf numFmtId="0" fontId="0" fillId="0" borderId="43" xfId="0" applyFill="1" applyBorder="1" applyAlignment="1">
      <alignment horizontal="center" vertical="center" wrapText="1"/>
    </xf>
    <xf numFmtId="0" fontId="0" fillId="0" borderId="44" xfId="0" applyFill="1" applyBorder="1" applyAlignment="1">
      <alignment horizontal="center" vertical="center" wrapText="1"/>
    </xf>
    <xf numFmtId="0" fontId="0" fillId="0" borderId="11" xfId="0" applyFill="1" applyBorder="1" applyAlignment="1">
      <alignment horizontal="center" vertical="center" wrapText="1"/>
    </xf>
    <xf numFmtId="0" fontId="0" fillId="20" borderId="45" xfId="0" applyFill="1" applyBorder="1" applyAlignment="1">
      <alignment horizontal="center" vertical="center"/>
    </xf>
    <xf numFmtId="0" fontId="0" fillId="20" borderId="46" xfId="0" applyFill="1" applyBorder="1" applyAlignment="1">
      <alignment horizontal="center" vertical="center"/>
    </xf>
    <xf numFmtId="2" fontId="0" fillId="20" borderId="45" xfId="0" applyNumberFormat="1" applyFill="1" applyBorder="1" applyAlignment="1">
      <alignment horizontal="center" vertical="center"/>
    </xf>
    <xf numFmtId="9" fontId="0" fillId="20" borderId="47" xfId="0" applyNumberFormat="1" applyFill="1" applyBorder="1" applyAlignment="1">
      <alignment horizontal="center" vertical="center"/>
    </xf>
    <xf numFmtId="2" fontId="0" fillId="20" borderId="46" xfId="0" applyNumberFormat="1" applyFill="1" applyBorder="1" applyAlignment="1">
      <alignment horizontal="center" vertical="center"/>
    </xf>
    <xf numFmtId="9" fontId="0" fillId="0" borderId="0" xfId="0" applyNumberFormat="1" applyAlignment="1">
      <alignment horizontal="center" vertical="center"/>
    </xf>
    <xf numFmtId="2" fontId="0" fillId="0" borderId="45" xfId="0" applyNumberFormat="1" applyBorder="1"/>
    <xf numFmtId="2" fontId="0" fillId="0" borderId="47" xfId="0" applyNumberFormat="1" applyBorder="1"/>
    <xf numFmtId="2" fontId="0" fillId="0" borderId="46" xfId="0" applyNumberFormat="1" applyBorder="1"/>
    <xf numFmtId="0" fontId="0" fillId="0" borderId="33" xfId="0" applyBorder="1" applyAlignment="1">
      <alignment horizontal="center" vertical="center"/>
    </xf>
    <xf numFmtId="0" fontId="0" fillId="0" borderId="37" xfId="0" applyBorder="1" applyAlignment="1">
      <alignment horizontal="center" vertical="center"/>
    </xf>
    <xf numFmtId="2" fontId="0" fillId="0" borderId="33" xfId="0" applyNumberFormat="1" applyBorder="1" applyAlignment="1">
      <alignment horizontal="center" vertical="center"/>
    </xf>
    <xf numFmtId="9" fontId="0" fillId="0" borderId="1" xfId="0" applyNumberFormat="1" applyBorder="1" applyAlignment="1">
      <alignment horizontal="center" vertical="center"/>
    </xf>
    <xf numFmtId="2" fontId="0" fillId="0" borderId="37" xfId="0" applyNumberFormat="1" applyBorder="1" applyAlignment="1">
      <alignment horizontal="center" vertical="center"/>
    </xf>
    <xf numFmtId="2" fontId="0" fillId="0" borderId="33" xfId="0" applyNumberFormat="1" applyBorder="1"/>
    <xf numFmtId="2" fontId="0" fillId="0" borderId="37" xfId="0" applyNumberFormat="1" applyBorder="1"/>
    <xf numFmtId="0" fontId="0" fillId="20" borderId="33" xfId="0" applyFill="1" applyBorder="1" applyAlignment="1">
      <alignment horizontal="center" vertical="center"/>
    </xf>
    <xf numFmtId="0" fontId="0" fillId="20" borderId="37" xfId="0" applyFill="1" applyBorder="1" applyAlignment="1">
      <alignment horizontal="center" vertical="center"/>
    </xf>
    <xf numFmtId="2" fontId="0" fillId="20" borderId="33" xfId="0" applyNumberFormat="1" applyFill="1" applyBorder="1" applyAlignment="1">
      <alignment horizontal="center" vertical="center"/>
    </xf>
    <xf numFmtId="9" fontId="0" fillId="20" borderId="1" xfId="0" applyNumberFormat="1" applyFill="1" applyBorder="1" applyAlignment="1">
      <alignment horizontal="center" vertical="center"/>
    </xf>
    <xf numFmtId="2" fontId="0" fillId="20" borderId="37" xfId="0" applyNumberFormat="1" applyFill="1" applyBorder="1" applyAlignment="1">
      <alignment horizontal="center" vertical="center"/>
    </xf>
    <xf numFmtId="0" fontId="0" fillId="0" borderId="42" xfId="0" applyBorder="1" applyAlignment="1">
      <alignment horizontal="center"/>
    </xf>
    <xf numFmtId="0" fontId="0" fillId="0" borderId="17" xfId="0" applyBorder="1" applyAlignment="1">
      <alignment horizontal="center"/>
    </xf>
    <xf numFmtId="9" fontId="0" fillId="0" borderId="1" xfId="1" applyFont="1" applyBorder="1" applyAlignment="1">
      <alignment horizontal="center"/>
    </xf>
    <xf numFmtId="0" fontId="65" fillId="23" borderId="48" xfId="5" applyBorder="1" applyAlignment="1">
      <alignment horizontal="center" vertical="center"/>
    </xf>
    <xf numFmtId="0" fontId="65" fillId="23" borderId="49" xfId="5" applyBorder="1" applyAlignment="1">
      <alignment horizontal="center" vertical="center"/>
    </xf>
    <xf numFmtId="2" fontId="65" fillId="23" borderId="48" xfId="5" applyNumberFormat="1" applyBorder="1" applyAlignment="1">
      <alignment horizontal="center" vertical="center"/>
    </xf>
    <xf numFmtId="9" fontId="65" fillId="23" borderId="29" xfId="5" applyNumberFormat="1" applyBorder="1" applyAlignment="1">
      <alignment horizontal="center" vertical="center"/>
    </xf>
    <xf numFmtId="2" fontId="65" fillId="23" borderId="49" xfId="5" applyNumberFormat="1" applyBorder="1" applyAlignment="1">
      <alignment horizontal="center" vertical="center"/>
    </xf>
    <xf numFmtId="0" fontId="64" fillId="22" borderId="33" xfId="4" applyBorder="1" applyAlignment="1">
      <alignment horizontal="center" vertical="center"/>
    </xf>
    <xf numFmtId="0" fontId="64" fillId="22" borderId="37" xfId="4" applyBorder="1" applyAlignment="1">
      <alignment horizontal="center" vertical="center"/>
    </xf>
    <xf numFmtId="2" fontId="64" fillId="22" borderId="33" xfId="4" applyNumberFormat="1" applyBorder="1" applyAlignment="1">
      <alignment horizontal="center" vertical="center"/>
    </xf>
    <xf numFmtId="9" fontId="64" fillId="22" borderId="1" xfId="4" applyNumberFormat="1" applyBorder="1" applyAlignment="1">
      <alignment horizontal="center" vertical="center"/>
    </xf>
    <xf numFmtId="2" fontId="64" fillId="22" borderId="37" xfId="4" applyNumberFormat="1" applyBorder="1" applyAlignment="1">
      <alignment horizontal="center" vertical="center"/>
    </xf>
    <xf numFmtId="0" fontId="72" fillId="0" borderId="33" xfId="4" applyFont="1" applyFill="1" applyBorder="1" applyAlignment="1">
      <alignment horizontal="center" vertical="center"/>
    </xf>
    <xf numFmtId="0" fontId="72" fillId="0" borderId="37" xfId="4" applyFont="1" applyFill="1" applyBorder="1" applyAlignment="1">
      <alignment horizontal="center" vertical="center"/>
    </xf>
    <xf numFmtId="2" fontId="72" fillId="0" borderId="33" xfId="4" applyNumberFormat="1" applyFont="1" applyFill="1" applyBorder="1" applyAlignment="1">
      <alignment horizontal="center" vertical="center"/>
    </xf>
    <xf numFmtId="9" fontId="72" fillId="0" borderId="1" xfId="4" applyNumberFormat="1" applyFont="1" applyFill="1" applyBorder="1" applyAlignment="1">
      <alignment horizontal="center" vertical="center"/>
    </xf>
    <xf numFmtId="2" fontId="72" fillId="0" borderId="37" xfId="4" applyNumberFormat="1" applyFont="1" applyFill="1" applyBorder="1" applyAlignment="1">
      <alignment horizontal="center" vertical="center"/>
    </xf>
    <xf numFmtId="0" fontId="0" fillId="0" borderId="35" xfId="0" applyBorder="1" applyAlignment="1">
      <alignment horizontal="center" vertical="center"/>
    </xf>
    <xf numFmtId="0" fontId="0" fillId="0" borderId="50" xfId="0" applyBorder="1" applyAlignment="1">
      <alignment horizontal="center" vertical="center"/>
    </xf>
    <xf numFmtId="2" fontId="0" fillId="0" borderId="35" xfId="0" applyNumberFormat="1" applyBorder="1" applyAlignment="1">
      <alignment horizontal="center" vertical="center"/>
    </xf>
    <xf numFmtId="9" fontId="0" fillId="0" borderId="14" xfId="0" applyNumberFormat="1" applyBorder="1" applyAlignment="1">
      <alignment horizontal="center" vertical="center"/>
    </xf>
    <xf numFmtId="2" fontId="0" fillId="0" borderId="50" xfId="0" applyNumberFormat="1" applyBorder="1" applyAlignment="1">
      <alignment horizontal="center" vertical="center"/>
    </xf>
    <xf numFmtId="0" fontId="0" fillId="20" borderId="1" xfId="0" applyFill="1" applyBorder="1" applyAlignment="1">
      <alignment horizontal="center" vertical="center"/>
    </xf>
    <xf numFmtId="9" fontId="0" fillId="0" borderId="0" xfId="0" applyNumberFormat="1" applyBorder="1" applyAlignment="1">
      <alignment horizontal="center" vertical="center"/>
    </xf>
    <xf numFmtId="0" fontId="0" fillId="0" borderId="31" xfId="0" applyBorder="1" applyAlignment="1">
      <alignment horizontal="center" vertical="center"/>
    </xf>
    <xf numFmtId="0" fontId="0" fillId="0" borderId="51" xfId="0" applyBorder="1" applyAlignment="1">
      <alignment horizontal="center" vertical="center"/>
    </xf>
    <xf numFmtId="2" fontId="0" fillId="0" borderId="31" xfId="0" applyNumberFormat="1" applyBorder="1" applyAlignment="1">
      <alignment horizontal="center" vertical="center"/>
    </xf>
    <xf numFmtId="9" fontId="0" fillId="0" borderId="16" xfId="0" applyNumberFormat="1" applyBorder="1" applyAlignment="1">
      <alignment horizontal="center" vertical="center"/>
    </xf>
    <xf numFmtId="2" fontId="0" fillId="0" borderId="51" xfId="0" applyNumberForma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2" fontId="0" fillId="0" borderId="38" xfId="0" applyNumberFormat="1" applyBorder="1" applyAlignment="1">
      <alignment horizontal="center" vertical="center"/>
    </xf>
    <xf numFmtId="9" fontId="0" fillId="0" borderId="52" xfId="0" applyNumberFormat="1" applyBorder="1" applyAlignment="1">
      <alignment horizontal="center" vertical="center"/>
    </xf>
    <xf numFmtId="2" fontId="0" fillId="0" borderId="39" xfId="0" applyNumberFormat="1" applyBorder="1" applyAlignment="1">
      <alignment horizontal="center" vertical="center"/>
    </xf>
    <xf numFmtId="2" fontId="0" fillId="0" borderId="38" xfId="0" applyNumberFormat="1" applyBorder="1"/>
    <xf numFmtId="2" fontId="0" fillId="0" borderId="52" xfId="0" applyNumberFormat="1" applyBorder="1"/>
    <xf numFmtId="2" fontId="0" fillId="0" borderId="39" xfId="0" applyNumberFormat="1" applyBorder="1"/>
    <xf numFmtId="0" fontId="0" fillId="0" borderId="0" xfId="0" applyAlignment="1">
      <alignment horizontal="center" vertical="center"/>
    </xf>
    <xf numFmtId="0" fontId="64" fillId="22" borderId="0" xfId="4"/>
    <xf numFmtId="0" fontId="65" fillId="23" borderId="29" xfId="5"/>
    <xf numFmtId="0" fontId="0" fillId="28" borderId="0" xfId="0" applyFill="1" applyAlignment="1">
      <alignment horizontal="right"/>
    </xf>
    <xf numFmtId="2" fontId="31" fillId="17" borderId="1" xfId="0" applyNumberFormat="1" applyFont="1" applyFill="1" applyBorder="1" applyAlignment="1">
      <alignment horizontal="center" vertical="center"/>
    </xf>
    <xf numFmtId="2" fontId="3" fillId="2" borderId="0" xfId="0" applyNumberFormat="1" applyFont="1" applyFill="1" applyBorder="1" applyAlignment="1">
      <alignment horizontal="center"/>
    </xf>
    <xf numFmtId="2" fontId="74" fillId="2" borderId="0" xfId="0" applyNumberFormat="1" applyFont="1" applyFill="1" applyBorder="1" applyAlignment="1">
      <alignment horizontal="center" vertical="top"/>
    </xf>
    <xf numFmtId="2" fontId="3" fillId="2" borderId="0" xfId="0" applyNumberFormat="1" applyFont="1" applyFill="1" applyBorder="1" applyAlignment="1">
      <alignment horizontal="center" vertical="top"/>
    </xf>
    <xf numFmtId="2" fontId="74" fillId="2" borderId="0" xfId="0" applyNumberFormat="1" applyFont="1" applyFill="1" applyBorder="1" applyAlignment="1">
      <alignment horizontal="center"/>
    </xf>
    <xf numFmtId="2" fontId="3" fillId="0" borderId="0" xfId="0" applyNumberFormat="1" applyFont="1" applyBorder="1" applyAlignment="1">
      <alignment horizontal="center" vertical="top"/>
    </xf>
    <xf numFmtId="2" fontId="0" fillId="2" borderId="10" xfId="0" applyNumberFormat="1" applyFill="1" applyBorder="1" applyAlignment="1">
      <alignment horizontal="center" vertical="center"/>
    </xf>
    <xf numFmtId="2" fontId="17" fillId="2" borderId="17" xfId="0" applyNumberFormat="1" applyFont="1" applyFill="1" applyBorder="1" applyAlignment="1">
      <alignment horizontal="center" vertical="center"/>
    </xf>
    <xf numFmtId="2" fontId="54" fillId="2" borderId="17" xfId="0" applyNumberFormat="1" applyFont="1" applyFill="1" applyBorder="1" applyAlignment="1">
      <alignment horizontal="center" vertical="center"/>
    </xf>
    <xf numFmtId="2" fontId="51" fillId="2" borderId="17" xfId="0" applyNumberFormat="1" applyFont="1" applyFill="1" applyBorder="1" applyAlignment="1">
      <alignment horizontal="center" vertical="center"/>
    </xf>
    <xf numFmtId="2" fontId="55" fillId="2" borderId="17" xfId="0" applyNumberFormat="1" applyFont="1" applyFill="1" applyBorder="1" applyAlignment="1">
      <alignment horizontal="center" vertical="center"/>
    </xf>
    <xf numFmtId="2" fontId="47" fillId="2" borderId="17" xfId="0" applyNumberFormat="1" applyFont="1" applyFill="1" applyBorder="1" applyAlignment="1">
      <alignment horizontal="center" vertical="center"/>
    </xf>
    <xf numFmtId="2" fontId="56" fillId="2" borderId="17" xfId="0" applyNumberFormat="1" applyFont="1" applyFill="1" applyBorder="1" applyAlignment="1">
      <alignment horizontal="center" vertical="center"/>
    </xf>
    <xf numFmtId="2" fontId="42" fillId="2" borderId="17" xfId="0" applyNumberFormat="1" applyFont="1" applyFill="1" applyBorder="1" applyAlignment="1">
      <alignment horizontal="center" vertical="center"/>
    </xf>
    <xf numFmtId="2" fontId="18" fillId="2" borderId="17" xfId="0" applyNumberFormat="1" applyFont="1" applyFill="1" applyBorder="1" applyAlignment="1">
      <alignment horizontal="center" vertical="center"/>
    </xf>
    <xf numFmtId="2" fontId="4" fillId="2" borderId="17" xfId="0" applyNumberFormat="1" applyFont="1" applyFill="1" applyBorder="1" applyAlignment="1">
      <alignment horizontal="center" vertical="center"/>
    </xf>
    <xf numFmtId="2" fontId="59" fillId="0" borderId="17" xfId="0" applyNumberFormat="1" applyFont="1" applyBorder="1" applyAlignment="1">
      <alignment horizontal="center" vertical="center"/>
    </xf>
    <xf numFmtId="2" fontId="53" fillId="2" borderId="17" xfId="0" applyNumberFormat="1" applyFont="1" applyFill="1" applyBorder="1" applyAlignment="1">
      <alignment horizontal="center" vertical="center"/>
    </xf>
    <xf numFmtId="2" fontId="0" fillId="2" borderId="17" xfId="0" applyNumberFormat="1" applyFill="1" applyBorder="1" applyAlignment="1">
      <alignment horizontal="center" vertical="center"/>
    </xf>
    <xf numFmtId="2" fontId="57" fillId="2" borderId="12" xfId="0" applyNumberFormat="1" applyFont="1" applyFill="1" applyBorder="1" applyAlignment="1">
      <alignment horizontal="center"/>
    </xf>
    <xf numFmtId="2" fontId="58" fillId="0" borderId="10" xfId="0" applyNumberFormat="1" applyFont="1" applyBorder="1" applyAlignment="1">
      <alignment horizontal="center" vertical="center"/>
    </xf>
    <xf numFmtId="2" fontId="58" fillId="2" borderId="12" xfId="0" applyNumberFormat="1" applyFont="1" applyFill="1" applyBorder="1" applyAlignment="1">
      <alignment horizontal="center" vertical="center"/>
    </xf>
    <xf numFmtId="0" fontId="74" fillId="2" borderId="0" xfId="0" applyFont="1" applyFill="1" applyBorder="1" applyAlignment="1">
      <alignment horizontal="center" vertical="center"/>
    </xf>
    <xf numFmtId="2" fontId="3" fillId="2" borderId="0" xfId="0" applyNumberFormat="1" applyFont="1" applyFill="1" applyBorder="1" applyAlignment="1">
      <alignment horizontal="center" vertical="center"/>
    </xf>
    <xf numFmtId="2" fontId="74" fillId="2" borderId="0" xfId="0" applyNumberFormat="1" applyFont="1" applyFill="1" applyBorder="1" applyAlignment="1">
      <alignment horizontal="center" vertical="center"/>
    </xf>
    <xf numFmtId="2" fontId="74" fillId="0" borderId="0" xfId="0" applyNumberFormat="1" applyFont="1" applyBorder="1" applyAlignment="1">
      <alignment horizontal="center" vertical="center"/>
    </xf>
    <xf numFmtId="0" fontId="3" fillId="2" borderId="0" xfId="0" applyFont="1" applyFill="1" applyBorder="1"/>
    <xf numFmtId="0" fontId="74" fillId="2" borderId="0" xfId="0" applyFont="1" applyFill="1" applyBorder="1"/>
    <xf numFmtId="0" fontId="27" fillId="20" borderId="5" xfId="0" applyFont="1" applyFill="1" applyBorder="1" applyAlignment="1" applyProtection="1">
      <alignment horizontal="center" vertical="center"/>
      <protection locked="0"/>
    </xf>
    <xf numFmtId="0" fontId="26" fillId="20" borderId="5" xfId="0" applyFont="1" applyFill="1" applyBorder="1" applyAlignment="1" applyProtection="1">
      <alignment horizontal="center" vertical="center"/>
      <protection locked="0"/>
    </xf>
    <xf numFmtId="0" fontId="74" fillId="2" borderId="0" xfId="0" applyFont="1" applyFill="1" applyBorder="1" applyAlignment="1">
      <alignment horizontal="left"/>
    </xf>
    <xf numFmtId="0" fontId="3" fillId="2" borderId="0" xfId="0" applyFont="1" applyFill="1" applyBorder="1" applyAlignment="1">
      <alignment horizontal="center"/>
    </xf>
    <xf numFmtId="0" fontId="50" fillId="2" borderId="0" xfId="0" applyFont="1" applyFill="1" applyBorder="1" applyAlignment="1" applyProtection="1">
      <alignment horizontal="center" vertical="center"/>
      <protection locked="0"/>
    </xf>
    <xf numFmtId="0" fontId="75" fillId="12" borderId="1" xfId="0" applyFont="1" applyFill="1" applyBorder="1" applyAlignment="1">
      <alignment horizontal="left"/>
    </xf>
    <xf numFmtId="0" fontId="76" fillId="12" borderId="1" xfId="0" applyFont="1" applyFill="1" applyBorder="1" applyAlignment="1">
      <alignment horizontal="center"/>
    </xf>
    <xf numFmtId="0" fontId="77" fillId="12" borderId="1" xfId="0" applyFont="1" applyFill="1" applyBorder="1" applyAlignment="1" applyProtection="1">
      <alignment horizontal="center" vertical="center"/>
      <protection locked="0"/>
    </xf>
    <xf numFmtId="0" fontId="6" fillId="2" borderId="16" xfId="0" applyFont="1" applyFill="1" applyBorder="1"/>
    <xf numFmtId="2" fontId="5" fillId="2" borderId="16" xfId="0" applyNumberFormat="1" applyFont="1" applyFill="1" applyBorder="1" applyAlignment="1">
      <alignment horizontal="center" vertical="center"/>
    </xf>
    <xf numFmtId="0" fontId="2" fillId="2" borderId="0" xfId="0" applyFont="1" applyFill="1" applyBorder="1" applyAlignment="1">
      <alignment horizontal="center" vertical="center"/>
    </xf>
    <xf numFmtId="0" fontId="1" fillId="2" borderId="5" xfId="0" applyFont="1" applyFill="1" applyBorder="1" applyAlignment="1">
      <alignment horizontal="center" vertical="center"/>
    </xf>
    <xf numFmtId="2" fontId="1" fillId="2" borderId="2" xfId="0" applyNumberFormat="1" applyFont="1" applyFill="1" applyBorder="1" applyAlignment="1">
      <alignment horizontal="center" vertical="center"/>
    </xf>
    <xf numFmtId="0" fontId="0" fillId="2" borderId="4" xfId="0" applyFill="1" applyBorder="1" applyAlignment="1">
      <alignment horizontal="center" wrapText="1"/>
    </xf>
    <xf numFmtId="0" fontId="6" fillId="15" borderId="1" xfId="0" applyFont="1" applyFill="1" applyBorder="1" applyAlignment="1">
      <alignment horizontal="center"/>
    </xf>
    <xf numFmtId="0" fontId="10" fillId="18" borderId="0" xfId="3" applyAlignment="1">
      <alignment horizontal="center"/>
    </xf>
    <xf numFmtId="0" fontId="6" fillId="15" borderId="3" xfId="0" applyFont="1" applyFill="1" applyBorder="1" applyAlignment="1">
      <alignment horizontal="center"/>
    </xf>
    <xf numFmtId="0" fontId="6" fillId="15" borderId="5" xfId="0" applyFont="1" applyFill="1" applyBorder="1" applyAlignment="1">
      <alignment horizontal="center"/>
    </xf>
    <xf numFmtId="0" fontId="0" fillId="14" borderId="3" xfId="0" applyFill="1" applyBorder="1" applyAlignment="1">
      <alignment horizontal="center"/>
    </xf>
    <xf numFmtId="0" fontId="0" fillId="14" borderId="5" xfId="0" applyFill="1"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6" fillId="2" borderId="10" xfId="0" applyFont="1" applyFill="1" applyBorder="1" applyAlignment="1">
      <alignment horizontal="center" vertical="center"/>
    </xf>
    <xf numFmtId="0" fontId="6" fillId="2" borderId="21" xfId="0" applyFont="1" applyFill="1" applyBorder="1" applyAlignment="1">
      <alignment horizontal="center" vertical="center"/>
    </xf>
    <xf numFmtId="0" fontId="17" fillId="2" borderId="12" xfId="0" applyFont="1" applyFill="1" applyBorder="1" applyAlignment="1">
      <alignment horizontal="center"/>
    </xf>
    <xf numFmtId="0" fontId="17" fillId="2" borderId="22" xfId="0" applyFont="1" applyFill="1" applyBorder="1" applyAlignment="1">
      <alignment horizontal="center"/>
    </xf>
    <xf numFmtId="0" fontId="17" fillId="2" borderId="13" xfId="0" applyFont="1" applyFill="1" applyBorder="1" applyAlignment="1">
      <alignment horizontal="center"/>
    </xf>
    <xf numFmtId="0" fontId="0" fillId="2" borderId="10" xfId="0" applyFill="1" applyBorder="1" applyAlignment="1">
      <alignment horizontal="center"/>
    </xf>
    <xf numFmtId="0" fontId="0" fillId="2" borderId="21" xfId="0" applyFill="1" applyBorder="1" applyAlignment="1">
      <alignment horizontal="center"/>
    </xf>
    <xf numFmtId="0" fontId="0" fillId="2" borderId="11" xfId="0" applyFill="1" applyBorder="1" applyAlignment="1">
      <alignment horizontal="center"/>
    </xf>
    <xf numFmtId="0" fontId="0" fillId="2" borderId="12" xfId="0" applyFill="1" applyBorder="1" applyAlignment="1">
      <alignment horizontal="center"/>
    </xf>
    <xf numFmtId="0" fontId="0" fillId="2" borderId="13"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78" fillId="2" borderId="0" xfId="0" applyFont="1" applyFill="1" applyBorder="1" applyAlignment="1">
      <alignment horizontal="center" vertical="center"/>
    </xf>
    <xf numFmtId="0" fontId="37" fillId="2" borderId="0" xfId="0" applyFont="1" applyFill="1" applyBorder="1" applyAlignment="1">
      <alignment horizontal="center" vertical="center"/>
    </xf>
    <xf numFmtId="0" fontId="38" fillId="2" borderId="0" xfId="0" applyFont="1" applyFill="1" applyBorder="1" applyAlignment="1">
      <alignment horizontal="center" vertical="center"/>
    </xf>
    <xf numFmtId="0" fontId="38" fillId="2" borderId="2" xfId="0" applyFont="1" applyFill="1" applyBorder="1" applyAlignment="1">
      <alignment horizontal="center" vertical="center"/>
    </xf>
    <xf numFmtId="0" fontId="49" fillId="2" borderId="0" xfId="0" applyFont="1" applyFill="1" applyBorder="1" applyAlignment="1">
      <alignment horizontal="center" vertical="center"/>
    </xf>
    <xf numFmtId="0" fontId="38" fillId="2" borderId="0" xfId="0" applyFont="1" applyFill="1" applyAlignment="1">
      <alignment horizontal="center"/>
    </xf>
    <xf numFmtId="0" fontId="38" fillId="2" borderId="2" xfId="0" applyFont="1" applyFill="1" applyBorder="1" applyAlignment="1">
      <alignment horizontal="center"/>
    </xf>
    <xf numFmtId="0" fontId="37" fillId="2" borderId="0"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0" fillId="28" borderId="0" xfId="0" applyFill="1" applyAlignment="1">
      <alignment horizontal="center" vertical="center" wrapText="1"/>
    </xf>
    <xf numFmtId="0" fontId="0" fillId="2" borderId="27" xfId="0" applyFill="1" applyBorder="1" applyAlignment="1">
      <alignment horizontal="center"/>
    </xf>
    <xf numFmtId="0" fontId="0" fillId="2" borderId="40" xfId="0" applyFill="1" applyBorder="1" applyAlignment="1">
      <alignment horizontal="center"/>
    </xf>
    <xf numFmtId="0" fontId="0" fillId="2" borderId="41" xfId="0" applyFill="1" applyBorder="1" applyAlignment="1">
      <alignment horizontal="center"/>
    </xf>
    <xf numFmtId="0" fontId="6" fillId="2" borderId="27" xfId="0" applyFont="1" applyFill="1" applyBorder="1" applyAlignment="1">
      <alignment horizontal="center"/>
    </xf>
    <xf numFmtId="0" fontId="6" fillId="2" borderId="41" xfId="0" applyFont="1" applyFill="1" applyBorder="1" applyAlignment="1">
      <alignment horizontal="center"/>
    </xf>
    <xf numFmtId="0" fontId="71" fillId="0" borderId="27" xfId="0" applyFont="1" applyBorder="1" applyAlignment="1">
      <alignment horizontal="center" vertical="center"/>
    </xf>
    <xf numFmtId="0" fontId="71" fillId="0" borderId="40" xfId="0" applyFont="1" applyBorder="1" applyAlignment="1">
      <alignment horizontal="center" vertical="center"/>
    </xf>
    <xf numFmtId="0" fontId="71" fillId="0" borderId="41" xfId="0" applyFont="1" applyBorder="1" applyAlignment="1">
      <alignment horizontal="center" vertical="center"/>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11" xfId="0" quotePrefix="1" applyBorder="1" applyAlignment="1">
      <alignment horizontal="center" vertical="center" wrapText="1"/>
    </xf>
    <xf numFmtId="0" fontId="0" fillId="0" borderId="13" xfId="0" quotePrefix="1" applyBorder="1" applyAlignment="1">
      <alignment horizontal="center" vertical="center" wrapText="1"/>
    </xf>
    <xf numFmtId="0" fontId="0" fillId="0" borderId="10" xfId="0" applyBorder="1" applyAlignment="1">
      <alignment horizontal="center"/>
    </xf>
    <xf numFmtId="0" fontId="0" fillId="0" borderId="21" xfId="0" applyBorder="1" applyAlignment="1">
      <alignment horizontal="center"/>
    </xf>
    <xf numFmtId="0" fontId="0" fillId="0" borderId="11" xfId="0" applyBorder="1" applyAlignment="1">
      <alignment horizontal="center"/>
    </xf>
  </cellXfs>
  <cellStyles count="6">
    <cellStyle name="20% - Accent1" xfId="3" builtinId="30"/>
    <cellStyle name="Input" xfId="5" builtinId="20"/>
    <cellStyle name="Neutral" xfId="4" builtinId="28"/>
    <cellStyle name="Normal" xfId="0" builtinId="0"/>
    <cellStyle name="Normal 2" xfId="2" xr:uid="{994FFD21-7CFA-4C70-8A63-7E905B5A6C06}"/>
    <cellStyle name="Percent" xfId="1" builtinId="5"/>
  </cellStyles>
  <dxfs count="73">
    <dxf>
      <numFmt numFmtId="14" formatCode="0.00%"/>
      <alignment horizontal="center" vertical="bottom" textRotation="0" wrapText="0" indent="0" justifyLastLine="0" shrinkToFit="0" readingOrder="0"/>
    </dxf>
    <dxf>
      <font>
        <strike val="0"/>
        <outline val="0"/>
        <shadow val="0"/>
        <u val="none"/>
        <vertAlign val="baseline"/>
        <sz val="11"/>
        <color rgb="FF000000"/>
        <name val="Times New Roman"/>
        <family val="1"/>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numFmt numFmtId="14" formatCode="0.00%"/>
      <alignment horizontal="center" vertical="bottom" textRotation="0" wrapText="0" indent="0" justifyLastLine="0" shrinkToFit="0" readingOrder="0"/>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strike val="0"/>
        <outline val="0"/>
        <shadow val="0"/>
        <u val="none"/>
        <vertAlign val="baseline"/>
        <sz val="11"/>
        <color theme="1"/>
        <name val="Times New Roman"/>
        <family val="1"/>
        <scheme val="none"/>
      </font>
      <numFmt numFmtId="2" formatCode="0.00"/>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theme="1"/>
        <name val="Times New Roman"/>
        <family val="1"/>
        <scheme val="none"/>
      </font>
      <numFmt numFmtId="2"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border>
        <bottom style="thin">
          <color rgb="FF000000"/>
        </bottom>
      </border>
    </dxf>
    <dxf>
      <font>
        <strike val="0"/>
        <outline val="0"/>
        <shadow val="0"/>
        <u val="none"/>
        <vertAlign val="baseline"/>
        <sz val="11"/>
        <color theme="1"/>
        <name val="Times New Roman"/>
        <family val="1"/>
        <scheme val="none"/>
      </font>
      <border diagonalUp="0" diagonalDown="0" outline="0">
        <left/>
        <right/>
        <top/>
        <bottom/>
      </border>
    </dxf>
    <dxf>
      <numFmt numFmtId="14" formatCode="0.00%"/>
      <alignment horizontal="center" textRotation="0" wrapText="0" indent="0" justifyLastLine="0" shrinkToFit="0" readingOrder="0"/>
    </dxf>
    <dxf>
      <font>
        <strike val="0"/>
        <outline val="0"/>
        <shadow val="0"/>
        <u val="none"/>
        <vertAlign val="baseline"/>
        <sz val="11"/>
        <color rgb="FF000000"/>
        <name val="Times New Roman"/>
        <family val="1"/>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textRotation="0" wrapText="0" indent="0" justifyLastLine="0" shrinkToFit="0" readingOrder="0"/>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numFmt numFmtId="14" formatCode="0.00%"/>
      <alignment horizontal="center" textRotation="0" wrapText="0" indent="0" justifyLastLine="0" shrinkToFit="0" readingOrder="0"/>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alignment horizontal="center" textRotation="0" wrapText="0" indent="0" justifyLastLine="0" shrinkToFit="0" readingOrder="0"/>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strike val="0"/>
        <outline val="0"/>
        <shadow val="0"/>
        <u val="none"/>
        <vertAlign val="baseline"/>
        <sz val="11"/>
        <color theme="1"/>
        <name val="Times New Roman"/>
        <family val="1"/>
        <scheme val="none"/>
      </font>
      <numFmt numFmtId="2" formatCode="0.00"/>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theme="1"/>
        <name val="Times New Roman"/>
        <family val="1"/>
        <scheme val="none"/>
      </font>
      <numFmt numFmtId="2"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rgb="FF000000"/>
        <name val="Times New Roman"/>
        <family val="1"/>
        <scheme val="none"/>
      </font>
      <alignment horizontal="center" vertical="center" textRotation="0" wrapText="0" indent="0" justifyLastLine="0" shrinkToFit="0" readingOrder="0"/>
    </dxf>
    <dxf>
      <border>
        <bottom style="thin">
          <color rgb="FF000000"/>
        </bottom>
      </border>
    </dxf>
    <dxf>
      <font>
        <strike val="0"/>
        <outline val="0"/>
        <shadow val="0"/>
        <u val="none"/>
        <vertAlign val="baseline"/>
        <sz val="11"/>
        <color theme="1"/>
        <name val="Times New Roman"/>
        <family val="1"/>
        <scheme val="none"/>
      </font>
      <border diagonalUp="0" diagonalDown="0" outline="0">
        <left/>
        <right/>
        <top/>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strike val="0"/>
        <outline val="0"/>
        <shadow val="0"/>
        <u val="none"/>
        <vertAlign val="baseline"/>
        <sz val="11"/>
        <color theme="1"/>
        <name val="Times New Roman"/>
        <family val="1"/>
        <scheme val="none"/>
      </font>
      <numFmt numFmtId="2" formatCode="0.00"/>
      <alignment horizontal="center" vertical="center" textRotation="0" wrapText="0"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strike val="0"/>
        <outline val="0"/>
        <shadow val="0"/>
        <u val="none"/>
        <vertAlign val="baseline"/>
        <sz val="11"/>
        <color theme="1"/>
        <name val="Times New Roman"/>
        <family val="1"/>
        <scheme val="none"/>
      </font>
      <numFmt numFmtId="2" formatCode="0.00"/>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theme="1"/>
        <name val="Times New Roman"/>
        <family val="1"/>
        <scheme val="none"/>
      </font>
      <numFmt numFmtId="2" formatCode="0.00"/>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numFmt numFmtId="13" formatCode="0%"/>
      <fill>
        <patternFill patternType="solid">
          <fgColor indexed="64"/>
          <bgColor theme="7"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Times New Roman"/>
        <family val="1"/>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Times New Roman"/>
        <family val="1"/>
        <scheme val="none"/>
      </font>
      <alignment horizontal="center" vertical="center" textRotation="0" wrapText="0" indent="0" justifyLastLine="0" shrinkToFit="0" readingOrder="0"/>
    </dxf>
    <dxf>
      <border>
        <bottom style="thin">
          <color indexed="64"/>
        </bottom>
      </border>
    </dxf>
    <dxf>
      <font>
        <strike val="0"/>
        <outline val="0"/>
        <shadow val="0"/>
        <u val="none"/>
        <vertAlign val="baseline"/>
        <sz val="11"/>
        <color theme="1"/>
        <name val="Times New Roman"/>
        <family val="1"/>
        <scheme val="none"/>
      </font>
      <border diagonalUp="0" diagonalDown="0" outline="0">
        <left/>
        <right/>
        <top/>
        <bottom/>
      </border>
    </dxf>
  </dxfs>
  <tableStyles count="0" defaultTableStyle="TableStyleMedium2" defaultPivotStyle="PivotStyleLight16"/>
  <colors>
    <mruColors>
      <color rgb="FFFF3399"/>
      <color rgb="FF000000"/>
      <color rgb="FFC62E10"/>
      <color rgb="FFCAA55A"/>
      <color rgb="FFFF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ASHP!$M$43</c:f>
              <c:strCache>
                <c:ptCount val="1"/>
                <c:pt idx="0">
                  <c:v>ADMD</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2.731846019247594E-3"/>
                  <c:y val="-0.1756393992417614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ASHP!$L$44:$L$48</c:f>
              <c:numCache>
                <c:formatCode>General</c:formatCode>
                <c:ptCount val="5"/>
                <c:pt idx="0">
                  <c:v>1</c:v>
                </c:pt>
                <c:pt idx="1">
                  <c:v>25</c:v>
                </c:pt>
                <c:pt idx="2">
                  <c:v>50</c:v>
                </c:pt>
                <c:pt idx="3">
                  <c:v>75</c:v>
                </c:pt>
                <c:pt idx="4">
                  <c:v>100</c:v>
                </c:pt>
              </c:numCache>
            </c:numRef>
          </c:xVal>
          <c:yVal>
            <c:numRef>
              <c:f>ASHP!$M$44:$M$48</c:f>
              <c:numCache>
                <c:formatCode>General</c:formatCode>
                <c:ptCount val="5"/>
                <c:pt idx="0">
                  <c:v>2.8439999999999999</c:v>
                </c:pt>
                <c:pt idx="1">
                  <c:v>1.58</c:v>
                </c:pt>
                <c:pt idx="2">
                  <c:v>1.389</c:v>
                </c:pt>
                <c:pt idx="3">
                  <c:v>1.3</c:v>
                </c:pt>
                <c:pt idx="4">
                  <c:v>1.276</c:v>
                </c:pt>
              </c:numCache>
            </c:numRef>
          </c:yVal>
          <c:smooth val="0"/>
          <c:extLst>
            <c:ext xmlns:c16="http://schemas.microsoft.com/office/drawing/2014/chart" uri="{C3380CC4-5D6E-409C-BE32-E72D297353CC}">
              <c16:uniqueId val="{00000001-0CD7-47B8-8A42-4C650980DA8F}"/>
            </c:ext>
          </c:extLst>
        </c:ser>
        <c:dLbls>
          <c:showLegendKey val="0"/>
          <c:showVal val="0"/>
          <c:showCatName val="0"/>
          <c:showSerName val="0"/>
          <c:showPercent val="0"/>
          <c:showBubbleSize val="0"/>
        </c:dLbls>
        <c:axId val="667795152"/>
        <c:axId val="667795480"/>
      </c:scatterChart>
      <c:valAx>
        <c:axId val="667795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795480"/>
        <c:crosses val="autoZero"/>
        <c:crossBetween val="midCat"/>
      </c:valAx>
      <c:valAx>
        <c:axId val="667795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7951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Backup Heating After PowerCut</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ASHP!$N$15</c:f>
              <c:strCache>
                <c:ptCount val="1"/>
                <c:pt idx="0">
                  <c:v>P best Case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ASHP!$M$16:$M$23</c:f>
              <c:numCache>
                <c:formatCode>General</c:formatCode>
                <c:ptCount val="8"/>
                <c:pt idx="0">
                  <c:v>-10</c:v>
                </c:pt>
                <c:pt idx="1">
                  <c:v>0</c:v>
                </c:pt>
                <c:pt idx="2">
                  <c:v>10</c:v>
                </c:pt>
                <c:pt idx="3">
                  <c:v>20</c:v>
                </c:pt>
                <c:pt idx="4">
                  <c:v>30</c:v>
                </c:pt>
                <c:pt idx="5">
                  <c:v>40</c:v>
                </c:pt>
                <c:pt idx="6">
                  <c:v>50</c:v>
                </c:pt>
                <c:pt idx="7">
                  <c:v>60</c:v>
                </c:pt>
              </c:numCache>
            </c:numRef>
          </c:xVal>
          <c:yVal>
            <c:numRef>
              <c:f>ASHP!$N$16:$N$23</c:f>
              <c:numCache>
                <c:formatCode>General</c:formatCode>
                <c:ptCount val="8"/>
                <c:pt idx="0">
                  <c:v>0</c:v>
                </c:pt>
                <c:pt idx="1">
                  <c:v>33.660000000000004</c:v>
                </c:pt>
                <c:pt idx="2">
                  <c:v>33.660000000000004</c:v>
                </c:pt>
                <c:pt idx="3">
                  <c:v>40.44</c:v>
                </c:pt>
                <c:pt idx="4">
                  <c:v>33.660000000000004</c:v>
                </c:pt>
                <c:pt idx="5">
                  <c:v>40.44</c:v>
                </c:pt>
                <c:pt idx="6">
                  <c:v>33.660000000000004</c:v>
                </c:pt>
                <c:pt idx="7">
                  <c:v>40.44</c:v>
                </c:pt>
              </c:numCache>
            </c:numRef>
          </c:yVal>
          <c:smooth val="0"/>
          <c:extLst>
            <c:ext xmlns:c16="http://schemas.microsoft.com/office/drawing/2014/chart" uri="{C3380CC4-5D6E-409C-BE32-E72D297353CC}">
              <c16:uniqueId val="{00000000-5CB6-40B7-889B-3FBBE7609F5A}"/>
            </c:ext>
          </c:extLst>
        </c:ser>
        <c:ser>
          <c:idx val="1"/>
          <c:order val="1"/>
          <c:tx>
            <c:strRef>
              <c:f>ASHP!$O$15</c:f>
              <c:strCache>
                <c:ptCount val="1"/>
                <c:pt idx="0">
                  <c:v>P Worst Case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ASHP!$M$16:$M$23</c:f>
              <c:numCache>
                <c:formatCode>General</c:formatCode>
                <c:ptCount val="8"/>
                <c:pt idx="0">
                  <c:v>-10</c:v>
                </c:pt>
                <c:pt idx="1">
                  <c:v>0</c:v>
                </c:pt>
                <c:pt idx="2">
                  <c:v>10</c:v>
                </c:pt>
                <c:pt idx="3">
                  <c:v>20</c:v>
                </c:pt>
                <c:pt idx="4">
                  <c:v>30</c:v>
                </c:pt>
                <c:pt idx="5">
                  <c:v>40</c:v>
                </c:pt>
                <c:pt idx="6">
                  <c:v>50</c:v>
                </c:pt>
                <c:pt idx="7">
                  <c:v>60</c:v>
                </c:pt>
              </c:numCache>
            </c:numRef>
          </c:xVal>
          <c:yVal>
            <c:numRef>
              <c:f>ASHP!$O$16:$O$23</c:f>
              <c:numCache>
                <c:formatCode>General</c:formatCode>
                <c:ptCount val="8"/>
                <c:pt idx="0">
                  <c:v>0</c:v>
                </c:pt>
                <c:pt idx="1">
                  <c:v>33.660000000000004</c:v>
                </c:pt>
                <c:pt idx="2">
                  <c:v>33.660000000000004</c:v>
                </c:pt>
                <c:pt idx="3">
                  <c:v>40.44</c:v>
                </c:pt>
                <c:pt idx="4">
                  <c:v>40.44</c:v>
                </c:pt>
                <c:pt idx="5">
                  <c:v>47.22</c:v>
                </c:pt>
                <c:pt idx="6">
                  <c:v>47.22</c:v>
                </c:pt>
                <c:pt idx="7">
                  <c:v>54</c:v>
                </c:pt>
              </c:numCache>
            </c:numRef>
          </c:yVal>
          <c:smooth val="0"/>
          <c:extLst>
            <c:ext xmlns:c16="http://schemas.microsoft.com/office/drawing/2014/chart" uri="{C3380CC4-5D6E-409C-BE32-E72D297353CC}">
              <c16:uniqueId val="{00000001-5CB6-40B7-889B-3FBBE7609F5A}"/>
            </c:ext>
          </c:extLst>
        </c:ser>
        <c:ser>
          <c:idx val="2"/>
          <c:order val="2"/>
          <c:tx>
            <c:strRef>
              <c:f>ASHP!$P$15</c:f>
              <c:strCache>
                <c:ptCount val="1"/>
                <c:pt idx="0">
                  <c:v>Average</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ASHP!$M$16:$M$23</c:f>
              <c:numCache>
                <c:formatCode>General</c:formatCode>
                <c:ptCount val="8"/>
                <c:pt idx="0">
                  <c:v>-10</c:v>
                </c:pt>
                <c:pt idx="1">
                  <c:v>0</c:v>
                </c:pt>
                <c:pt idx="2">
                  <c:v>10</c:v>
                </c:pt>
                <c:pt idx="3">
                  <c:v>20</c:v>
                </c:pt>
                <c:pt idx="4">
                  <c:v>30</c:v>
                </c:pt>
                <c:pt idx="5">
                  <c:v>40</c:v>
                </c:pt>
                <c:pt idx="6">
                  <c:v>50</c:v>
                </c:pt>
                <c:pt idx="7">
                  <c:v>60</c:v>
                </c:pt>
              </c:numCache>
            </c:numRef>
          </c:xVal>
          <c:yVal>
            <c:numRef>
              <c:f>ASHP!$P$16:$P$23</c:f>
              <c:numCache>
                <c:formatCode>General</c:formatCode>
                <c:ptCount val="8"/>
                <c:pt idx="0">
                  <c:v>0</c:v>
                </c:pt>
                <c:pt idx="1">
                  <c:v>33.660000000000004</c:v>
                </c:pt>
                <c:pt idx="2">
                  <c:v>33.660000000000004</c:v>
                </c:pt>
                <c:pt idx="3">
                  <c:v>40.44</c:v>
                </c:pt>
                <c:pt idx="4">
                  <c:v>37.049999999999997</c:v>
                </c:pt>
                <c:pt idx="5">
                  <c:v>43.83</c:v>
                </c:pt>
                <c:pt idx="6">
                  <c:v>40.44</c:v>
                </c:pt>
                <c:pt idx="7">
                  <c:v>47.22</c:v>
                </c:pt>
              </c:numCache>
            </c:numRef>
          </c:yVal>
          <c:smooth val="0"/>
          <c:extLst>
            <c:ext xmlns:c16="http://schemas.microsoft.com/office/drawing/2014/chart" uri="{C3380CC4-5D6E-409C-BE32-E72D297353CC}">
              <c16:uniqueId val="{00000002-5CB6-40B7-889B-3FBBE7609F5A}"/>
            </c:ext>
          </c:extLst>
        </c:ser>
        <c:dLbls>
          <c:showLegendKey val="0"/>
          <c:showVal val="0"/>
          <c:showCatName val="0"/>
          <c:showSerName val="0"/>
          <c:showPercent val="0"/>
          <c:showBubbleSize val="0"/>
        </c:dLbls>
        <c:axId val="606810392"/>
        <c:axId val="606804488"/>
      </c:scatterChart>
      <c:valAx>
        <c:axId val="60681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804488"/>
        <c:crosses val="autoZero"/>
        <c:crossBetween val="midCat"/>
      </c:valAx>
      <c:valAx>
        <c:axId val="606804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8103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6.png"/><Relationship Id="rId5" Type="http://schemas.openxmlformats.org/officeDocument/2006/relationships/image" Target="../media/image3.png"/><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7.jpe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7.jpe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2.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image" Target="../media/image13.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11.png"/><Relationship Id="rId10" Type="http://schemas.openxmlformats.org/officeDocument/2006/relationships/image" Target="../media/image27.png"/><Relationship Id="rId4" Type="http://schemas.openxmlformats.org/officeDocument/2006/relationships/image" Target="../media/image20.png"/><Relationship Id="rId9"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6.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37.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6.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6.png"/><Relationship Id="rId5" Type="http://schemas.openxmlformats.org/officeDocument/2006/relationships/image" Target="../media/image3.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14</xdr:col>
      <xdr:colOff>371476</xdr:colOff>
      <xdr:row>12</xdr:row>
      <xdr:rowOff>9525</xdr:rowOff>
    </xdr:from>
    <xdr:to>
      <xdr:col>17</xdr:col>
      <xdr:colOff>447676</xdr:colOff>
      <xdr:row>18</xdr:row>
      <xdr:rowOff>27889</xdr:rowOff>
    </xdr:to>
    <xdr:grpSp>
      <xdr:nvGrpSpPr>
        <xdr:cNvPr id="13" name="Group 12">
          <a:extLst>
            <a:ext uri="{FF2B5EF4-FFF2-40B4-BE49-F238E27FC236}">
              <a16:creationId xmlns:a16="http://schemas.microsoft.com/office/drawing/2014/main" id="{00000000-0008-0000-0000-00000D000000}"/>
            </a:ext>
          </a:extLst>
        </xdr:cNvPr>
        <xdr:cNvGrpSpPr/>
      </xdr:nvGrpSpPr>
      <xdr:grpSpPr>
        <a:xfrm>
          <a:off x="0" y="2295525"/>
          <a:ext cx="0" cy="1161364"/>
          <a:chOff x="12153900" y="2990850"/>
          <a:chExt cx="2861257" cy="1875740"/>
        </a:xfrm>
      </xdr:grpSpPr>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twoCellAnchor>
    <xdr:from>
      <xdr:col>14</xdr:col>
      <xdr:colOff>276225</xdr:colOff>
      <xdr:row>1</xdr:row>
      <xdr:rowOff>190499</xdr:rowOff>
    </xdr:from>
    <xdr:to>
      <xdr:col>17</xdr:col>
      <xdr:colOff>447675</xdr:colOff>
      <xdr:row>7</xdr:row>
      <xdr:rowOff>38100</xdr:rowOff>
    </xdr:to>
    <xdr:grpSp>
      <xdr:nvGrpSpPr>
        <xdr:cNvPr id="14" name="Group 13">
          <a:extLst>
            <a:ext uri="{FF2B5EF4-FFF2-40B4-BE49-F238E27FC236}">
              <a16:creationId xmlns:a16="http://schemas.microsoft.com/office/drawing/2014/main" id="{00000000-0008-0000-0000-00000E000000}"/>
            </a:ext>
          </a:extLst>
        </xdr:cNvPr>
        <xdr:cNvGrpSpPr/>
      </xdr:nvGrpSpPr>
      <xdr:grpSpPr>
        <a:xfrm>
          <a:off x="0" y="380999"/>
          <a:ext cx="0" cy="990601"/>
          <a:chOff x="12153900" y="2990850"/>
          <a:chExt cx="2861257" cy="1875740"/>
        </a:xfrm>
      </xdr:grpSpPr>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oneCellAnchor>
    <xdr:from>
      <xdr:col>55</xdr:col>
      <xdr:colOff>388198</xdr:colOff>
      <xdr:row>1</xdr:row>
      <xdr:rowOff>9524</xdr:rowOff>
    </xdr:from>
    <xdr:ext cx="1309333" cy="593304"/>
    <xdr:sp macro="" textlink="">
      <xdr:nvSpPr>
        <xdr:cNvPr id="21" name="Rectangle 20">
          <a:extLst>
            <a:ext uri="{FF2B5EF4-FFF2-40B4-BE49-F238E27FC236}">
              <a16:creationId xmlns:a16="http://schemas.microsoft.com/office/drawing/2014/main" id="{D36BE15D-652D-466F-8CDD-28CCB684EEB1}"/>
            </a:ext>
          </a:extLst>
        </xdr:cNvPr>
        <xdr:cNvSpPr/>
      </xdr:nvSpPr>
      <xdr:spPr>
        <a:xfrm>
          <a:off x="6174636" y="200024"/>
          <a:ext cx="1309333" cy="593304"/>
        </a:xfrm>
        <a:prstGeom prst="rect">
          <a:avLst/>
        </a:prstGeom>
        <a:noFill/>
      </xdr:spPr>
      <xdr:txBody>
        <a:bodyPr wrap="none" lIns="91440" tIns="45720" rIns="91440" bIns="45720">
          <a:spAutoFit/>
        </a:bodyPr>
        <a:lstStyle/>
        <a:p>
          <a:pPr algn="ctr"/>
          <a:r>
            <a:rPr lang="en-US" sz="32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clientData/>
  </xdr:oneCellAnchor>
  <xdr:twoCellAnchor>
    <xdr:from>
      <xdr:col>5</xdr:col>
      <xdr:colOff>361950</xdr:colOff>
      <xdr:row>29</xdr:row>
      <xdr:rowOff>0</xdr:rowOff>
    </xdr:from>
    <xdr:to>
      <xdr:col>9</xdr:col>
      <xdr:colOff>247650</xdr:colOff>
      <xdr:row>34</xdr:row>
      <xdr:rowOff>118102</xdr:rowOff>
    </xdr:to>
    <xdr:grpSp>
      <xdr:nvGrpSpPr>
        <xdr:cNvPr id="26" name="Group 25">
          <a:extLst>
            <a:ext uri="{FF2B5EF4-FFF2-40B4-BE49-F238E27FC236}">
              <a16:creationId xmlns:a16="http://schemas.microsoft.com/office/drawing/2014/main" id="{25F23DB5-9B0D-4D39-ACC1-98B8B145514D}"/>
            </a:ext>
          </a:extLst>
        </xdr:cNvPr>
        <xdr:cNvGrpSpPr/>
      </xdr:nvGrpSpPr>
      <xdr:grpSpPr>
        <a:xfrm>
          <a:off x="0" y="5524500"/>
          <a:ext cx="0" cy="1070602"/>
          <a:chOff x="8572500" y="3876675"/>
          <a:chExt cx="5882031" cy="2861302"/>
        </a:xfrm>
      </xdr:grpSpPr>
      <xdr:pic>
        <xdr:nvPicPr>
          <xdr:cNvPr id="27" name="Picture 26">
            <a:extLst>
              <a:ext uri="{FF2B5EF4-FFF2-40B4-BE49-F238E27FC236}">
                <a16:creationId xmlns:a16="http://schemas.microsoft.com/office/drawing/2014/main" id="{1049274C-E5D1-4212-B70E-4D8026AC4097}"/>
              </a:ext>
            </a:extLst>
          </xdr:cNvPr>
          <xdr:cNvPicPr>
            <a:picLocks noChangeAspect="1"/>
          </xdr:cNvPicPr>
        </xdr:nvPicPr>
        <xdr:blipFill>
          <a:blip xmlns:r="http://schemas.openxmlformats.org/officeDocument/2006/relationships" r:embed="rId3"/>
          <a:stretch>
            <a:fillRect/>
          </a:stretch>
        </xdr:blipFill>
        <xdr:spPr>
          <a:xfrm>
            <a:off x="8572500" y="3876675"/>
            <a:ext cx="5882031" cy="2861302"/>
          </a:xfrm>
          <a:prstGeom prst="rect">
            <a:avLst/>
          </a:prstGeom>
        </xdr:spPr>
      </xdr:pic>
      <xdr:pic>
        <xdr:nvPicPr>
          <xdr:cNvPr id="28" name="Picture 27">
            <a:extLst>
              <a:ext uri="{FF2B5EF4-FFF2-40B4-BE49-F238E27FC236}">
                <a16:creationId xmlns:a16="http://schemas.microsoft.com/office/drawing/2014/main" id="{4AD6A0C2-9AF4-4A03-8A90-F222B4249FE4}"/>
              </a:ext>
            </a:extLst>
          </xdr:cNvPr>
          <xdr:cNvPicPr>
            <a:picLocks noChangeAspect="1"/>
          </xdr:cNvPicPr>
        </xdr:nvPicPr>
        <xdr:blipFill>
          <a:blip xmlns:r="http://schemas.openxmlformats.org/officeDocument/2006/relationships" r:embed="rId4"/>
          <a:stretch>
            <a:fillRect/>
          </a:stretch>
        </xdr:blipFill>
        <xdr:spPr>
          <a:xfrm>
            <a:off x="11582400" y="4730026"/>
            <a:ext cx="537973" cy="1051495"/>
          </a:xfrm>
          <a:prstGeom prst="rect">
            <a:avLst/>
          </a:prstGeom>
        </xdr:spPr>
      </xdr:pic>
    </xdr:grpSp>
    <xdr:clientData/>
  </xdr:twoCellAnchor>
  <xdr:twoCellAnchor editAs="oneCell">
    <xdr:from>
      <xdr:col>56</xdr:col>
      <xdr:colOff>0</xdr:colOff>
      <xdr:row>17</xdr:row>
      <xdr:rowOff>0</xdr:rowOff>
    </xdr:from>
    <xdr:to>
      <xdr:col>56</xdr:col>
      <xdr:colOff>304800</xdr:colOff>
      <xdr:row>18</xdr:row>
      <xdr:rowOff>114300</xdr:rowOff>
    </xdr:to>
    <xdr:sp macro="" textlink="">
      <xdr:nvSpPr>
        <xdr:cNvPr id="1027" name="AutoShape 3" descr="Transparent Background Calculator Clipart">
          <a:extLst>
            <a:ext uri="{FF2B5EF4-FFF2-40B4-BE49-F238E27FC236}">
              <a16:creationId xmlns:a16="http://schemas.microsoft.com/office/drawing/2014/main" id="{763340F9-99E5-477D-9E88-59FDB2A1DE59}"/>
            </a:ext>
          </a:extLst>
        </xdr:cNvPr>
        <xdr:cNvSpPr>
          <a:spLocks noChangeAspect="1" noChangeArrowheads="1"/>
        </xdr:cNvSpPr>
      </xdr:nvSpPr>
      <xdr:spPr bwMode="auto">
        <a:xfrm>
          <a:off x="62569725" y="285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54</xdr:col>
      <xdr:colOff>466724</xdr:colOff>
      <xdr:row>2</xdr:row>
      <xdr:rowOff>152400</xdr:rowOff>
    </xdr:from>
    <xdr:to>
      <xdr:col>58</xdr:col>
      <xdr:colOff>428624</xdr:colOff>
      <xdr:row>15</xdr:row>
      <xdr:rowOff>76200</xdr:rowOff>
    </xdr:to>
    <xdr:pic>
      <xdr:nvPicPr>
        <xdr:cNvPr id="31" name="Picture 30" descr="Transparent Background Calculator Clipart">
          <a:extLst>
            <a:ext uri="{FF2B5EF4-FFF2-40B4-BE49-F238E27FC236}">
              <a16:creationId xmlns:a16="http://schemas.microsoft.com/office/drawing/2014/main" id="{ECC36AE7-4E4B-4556-9E5F-8FD0358EA66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41974" y="533400"/>
          <a:ext cx="240665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565150</xdr:colOff>
      <xdr:row>20</xdr:row>
      <xdr:rowOff>155575</xdr:rowOff>
    </xdr:from>
    <xdr:to>
      <xdr:col>51</xdr:col>
      <xdr:colOff>1552745</xdr:colOff>
      <xdr:row>26</xdr:row>
      <xdr:rowOff>59640</xdr:rowOff>
    </xdr:to>
    <xdr:pic>
      <xdr:nvPicPr>
        <xdr:cNvPr id="32" name="Picture 31">
          <a:extLst>
            <a:ext uri="{FF2B5EF4-FFF2-40B4-BE49-F238E27FC236}">
              <a16:creationId xmlns:a16="http://schemas.microsoft.com/office/drawing/2014/main" id="{E51D726E-9E76-4D84-84FA-3057FE0B3DF3}"/>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57172225" y="3965575"/>
          <a:ext cx="1597195" cy="1047065"/>
        </a:xfrm>
        <a:prstGeom prst="rect">
          <a:avLst/>
        </a:prstGeom>
      </xdr:spPr>
    </xdr:pic>
    <xdr:clientData/>
  </xdr:twoCellAnchor>
  <xdr:twoCellAnchor>
    <xdr:from>
      <xdr:col>52</xdr:col>
      <xdr:colOff>349252</xdr:colOff>
      <xdr:row>20</xdr:row>
      <xdr:rowOff>123826</xdr:rowOff>
    </xdr:from>
    <xdr:to>
      <xdr:col>53</xdr:col>
      <xdr:colOff>306388</xdr:colOff>
      <xdr:row>25</xdr:row>
      <xdr:rowOff>187327</xdr:rowOff>
    </xdr:to>
    <xdr:grpSp>
      <xdr:nvGrpSpPr>
        <xdr:cNvPr id="2" name="Group 1">
          <a:extLst>
            <a:ext uri="{FF2B5EF4-FFF2-40B4-BE49-F238E27FC236}">
              <a16:creationId xmlns:a16="http://schemas.microsoft.com/office/drawing/2014/main" id="{11755C0A-05B4-48F3-8B22-22DE660B849E}"/>
            </a:ext>
          </a:extLst>
        </xdr:cNvPr>
        <xdr:cNvGrpSpPr/>
      </xdr:nvGrpSpPr>
      <xdr:grpSpPr>
        <a:xfrm>
          <a:off x="3663952" y="3933826"/>
          <a:ext cx="2033586" cy="1016001"/>
          <a:chOff x="60683775" y="2828925"/>
          <a:chExt cx="2308426" cy="1122929"/>
        </a:xfrm>
      </xdr:grpSpPr>
      <xdr:pic>
        <xdr:nvPicPr>
          <xdr:cNvPr id="33" name="Picture 32">
            <a:extLst>
              <a:ext uri="{FF2B5EF4-FFF2-40B4-BE49-F238E27FC236}">
                <a16:creationId xmlns:a16="http://schemas.microsoft.com/office/drawing/2014/main" id="{45B99BFE-0186-406F-BA35-54ED29083871}"/>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34" name="Picture 33">
            <a:extLst>
              <a:ext uri="{FF2B5EF4-FFF2-40B4-BE49-F238E27FC236}">
                <a16:creationId xmlns:a16="http://schemas.microsoft.com/office/drawing/2014/main" id="{DD5CD38B-40E5-4A2A-9DC6-035DE8EB7C0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xdr:from>
      <xdr:col>51</xdr:col>
      <xdr:colOff>1897062</xdr:colOff>
      <xdr:row>23</xdr:row>
      <xdr:rowOff>30163</xdr:rowOff>
    </xdr:from>
    <xdr:to>
      <xdr:col>51</xdr:col>
      <xdr:colOff>2573337</xdr:colOff>
      <xdr:row>24</xdr:row>
      <xdr:rowOff>30163</xdr:rowOff>
    </xdr:to>
    <xdr:sp macro="" textlink="">
      <xdr:nvSpPr>
        <xdr:cNvPr id="35" name="Arrow: Right 34">
          <a:extLst>
            <a:ext uri="{FF2B5EF4-FFF2-40B4-BE49-F238E27FC236}">
              <a16:creationId xmlns:a16="http://schemas.microsoft.com/office/drawing/2014/main" id="{E0B41AF8-C63B-497A-89D2-047272C4C587}"/>
            </a:ext>
          </a:extLst>
        </xdr:cNvPr>
        <xdr:cNvSpPr/>
      </xdr:nvSpPr>
      <xdr:spPr>
        <a:xfrm>
          <a:off x="59113737" y="4411663"/>
          <a:ext cx="67627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174625</xdr:colOff>
      <xdr:row>11</xdr:row>
      <xdr:rowOff>111125</xdr:rowOff>
    </xdr:from>
    <xdr:to>
      <xdr:col>51</xdr:col>
      <xdr:colOff>1698625</xdr:colOff>
      <xdr:row>15</xdr:row>
      <xdr:rowOff>141606</xdr:rowOff>
    </xdr:to>
    <xdr:pic>
      <xdr:nvPicPr>
        <xdr:cNvPr id="38" name="Picture 37" descr="SP Energy Networks | LinkedIn">
          <a:extLst>
            <a:ext uri="{FF2B5EF4-FFF2-40B4-BE49-F238E27FC236}">
              <a16:creationId xmlns:a16="http://schemas.microsoft.com/office/drawing/2014/main" id="{4E811244-7FCC-4FBE-8B0A-468ADF27B913}"/>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2500" b="25500"/>
        <a:stretch/>
      </xdr:blipFill>
      <xdr:spPr bwMode="auto">
        <a:xfrm>
          <a:off x="785813" y="2206625"/>
          <a:ext cx="1524000" cy="792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301625</xdr:colOff>
      <xdr:row>15</xdr:row>
      <xdr:rowOff>15873</xdr:rowOff>
    </xdr:from>
    <xdr:to>
      <xdr:col>58</xdr:col>
      <xdr:colOff>55562</xdr:colOff>
      <xdr:row>21</xdr:row>
      <xdr:rowOff>131533</xdr:rowOff>
    </xdr:to>
    <xdr:pic>
      <xdr:nvPicPr>
        <xdr:cNvPr id="39" name="Picture 38">
          <a:extLst>
            <a:ext uri="{FF2B5EF4-FFF2-40B4-BE49-F238E27FC236}">
              <a16:creationId xmlns:a16="http://schemas.microsoft.com/office/drawing/2014/main" id="{EA2BE4FA-1C1C-4429-8598-1B8B771C090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921500" y="2873373"/>
          <a:ext cx="1587500" cy="1258660"/>
        </a:xfrm>
        <a:prstGeom prst="rect">
          <a:avLst/>
        </a:prstGeom>
        <a:noFill/>
        <a:ln>
          <a:noFill/>
        </a:ln>
      </xdr:spPr>
    </xdr:pic>
    <xdr:clientData/>
  </xdr:twoCellAnchor>
  <xdr:twoCellAnchor>
    <xdr:from>
      <xdr:col>50</xdr:col>
      <xdr:colOff>523875</xdr:colOff>
      <xdr:row>26</xdr:row>
      <xdr:rowOff>171450</xdr:rowOff>
    </xdr:from>
    <xdr:to>
      <xdr:col>59</xdr:col>
      <xdr:colOff>445611</xdr:colOff>
      <xdr:row>29</xdr:row>
      <xdr:rowOff>61615</xdr:rowOff>
    </xdr:to>
    <xdr:grpSp>
      <xdr:nvGrpSpPr>
        <xdr:cNvPr id="23" name="Group 22">
          <a:extLst>
            <a:ext uri="{FF2B5EF4-FFF2-40B4-BE49-F238E27FC236}">
              <a16:creationId xmlns:a16="http://schemas.microsoft.com/office/drawing/2014/main" id="{E9293472-8D99-4C9A-AC96-A53BD5DD292A}"/>
            </a:ext>
          </a:extLst>
        </xdr:cNvPr>
        <xdr:cNvGrpSpPr/>
      </xdr:nvGrpSpPr>
      <xdr:grpSpPr>
        <a:xfrm>
          <a:off x="523875" y="5124450"/>
          <a:ext cx="9027636" cy="461665"/>
          <a:chOff x="501353" y="1993652"/>
          <a:chExt cx="9065736" cy="461665"/>
        </a:xfrm>
      </xdr:grpSpPr>
      <xdr:pic>
        <xdr:nvPicPr>
          <xdr:cNvPr id="24" name="Picture 23">
            <a:extLst>
              <a:ext uri="{FF2B5EF4-FFF2-40B4-BE49-F238E27FC236}">
                <a16:creationId xmlns:a16="http://schemas.microsoft.com/office/drawing/2014/main" id="{635AFE0D-8D95-425D-A5D4-84B5C9E44A2D}"/>
              </a:ext>
            </a:extLst>
          </xdr:cNvPr>
          <xdr:cNvPicPr>
            <a:picLocks noChangeAspect="1"/>
          </xdr:cNvPicPr>
        </xdr:nvPicPr>
        <xdr:blipFill rotWithShape="1">
          <a:blip xmlns:r="http://schemas.openxmlformats.org/officeDocument/2006/relationships" r:embed="rId9"/>
          <a:srcRect t="-1" r="29452" b="-10230"/>
          <a:stretch/>
        </xdr:blipFill>
        <xdr:spPr>
          <a:xfrm>
            <a:off x="501353" y="2204864"/>
            <a:ext cx="6323855" cy="250453"/>
          </a:xfrm>
          <a:prstGeom prst="rect">
            <a:avLst/>
          </a:prstGeom>
        </xdr:spPr>
      </xdr:pic>
      <xdr:pic>
        <xdr:nvPicPr>
          <xdr:cNvPr id="25" name="Picture 24">
            <a:extLst>
              <a:ext uri="{FF2B5EF4-FFF2-40B4-BE49-F238E27FC236}">
                <a16:creationId xmlns:a16="http://schemas.microsoft.com/office/drawing/2014/main" id="{1E83EEDB-C3C6-4E48-AA1E-E163DFF8156C}"/>
              </a:ext>
            </a:extLst>
          </xdr:cNvPr>
          <xdr:cNvPicPr>
            <a:picLocks noChangeAspect="1"/>
          </xdr:cNvPicPr>
        </xdr:nvPicPr>
        <xdr:blipFill rotWithShape="1">
          <a:blip xmlns:r="http://schemas.openxmlformats.org/officeDocument/2006/relationships" r:embed="rId9"/>
          <a:srcRect l="70691" t="5811"/>
          <a:stretch/>
        </xdr:blipFill>
        <xdr:spPr>
          <a:xfrm>
            <a:off x="6939793" y="2203748"/>
            <a:ext cx="2627296" cy="214005"/>
          </a:xfrm>
          <a:prstGeom prst="rect">
            <a:avLst/>
          </a:prstGeom>
        </xdr:spPr>
      </xdr:pic>
      <xdr:sp macro="" textlink="">
        <xdr:nvSpPr>
          <xdr:cNvPr id="29" name="Rectangle 28">
            <a:extLst>
              <a:ext uri="{FF2B5EF4-FFF2-40B4-BE49-F238E27FC236}">
                <a16:creationId xmlns:a16="http://schemas.microsoft.com/office/drawing/2014/main" id="{189E6185-A4A5-4AAE-AD68-C541C958ACE6}"/>
              </a:ext>
            </a:extLst>
          </xdr:cNvPr>
          <xdr:cNvSpPr/>
        </xdr:nvSpPr>
        <xdr:spPr>
          <a:xfrm>
            <a:off x="6738872" y="1993652"/>
            <a:ext cx="287258" cy="461665"/>
          </a:xfrm>
          <a:prstGeom prst="rect">
            <a:avLst/>
          </a:prstGeom>
        </xdr:spPr>
        <xdr:txBody>
          <a:bodyPr wrap="square">
            <a:spAutoFit/>
          </a:bodyPr>
          <a:lstStyle>
            <a:defPPr>
              <a:defRPr lang="es-ES_tradnl"/>
            </a:defPPr>
            <a:lvl1pPr algn="l" rtl="0" fontAlgn="base">
              <a:spcBef>
                <a:spcPct val="0"/>
              </a:spcBef>
              <a:spcAft>
                <a:spcPct val="0"/>
              </a:spcAft>
              <a:defRPr sz="2800" kern="1200">
                <a:solidFill>
                  <a:srgbClr val="447D1B"/>
                </a:solidFill>
                <a:latin typeface="Arial" pitchFamily="34" charset="0"/>
                <a:ea typeface="+mn-ea"/>
                <a:cs typeface="+mn-cs"/>
              </a:defRPr>
            </a:lvl1pPr>
            <a:lvl2pPr marL="457097" algn="l" rtl="0" fontAlgn="base">
              <a:spcBef>
                <a:spcPct val="0"/>
              </a:spcBef>
              <a:spcAft>
                <a:spcPct val="0"/>
              </a:spcAft>
              <a:defRPr sz="2800" kern="1200">
                <a:solidFill>
                  <a:srgbClr val="447D1B"/>
                </a:solidFill>
                <a:latin typeface="Arial" pitchFamily="34" charset="0"/>
                <a:ea typeface="+mn-ea"/>
                <a:cs typeface="+mn-cs"/>
              </a:defRPr>
            </a:lvl2pPr>
            <a:lvl3pPr marL="914192" algn="l" rtl="0" fontAlgn="base">
              <a:spcBef>
                <a:spcPct val="0"/>
              </a:spcBef>
              <a:spcAft>
                <a:spcPct val="0"/>
              </a:spcAft>
              <a:defRPr sz="2800" kern="1200">
                <a:solidFill>
                  <a:srgbClr val="447D1B"/>
                </a:solidFill>
                <a:latin typeface="Arial" pitchFamily="34" charset="0"/>
                <a:ea typeface="+mn-ea"/>
                <a:cs typeface="+mn-cs"/>
              </a:defRPr>
            </a:lvl3pPr>
            <a:lvl4pPr marL="1371289" algn="l" rtl="0" fontAlgn="base">
              <a:spcBef>
                <a:spcPct val="0"/>
              </a:spcBef>
              <a:spcAft>
                <a:spcPct val="0"/>
              </a:spcAft>
              <a:defRPr sz="2800" kern="1200">
                <a:solidFill>
                  <a:srgbClr val="447D1B"/>
                </a:solidFill>
                <a:latin typeface="Arial" pitchFamily="34" charset="0"/>
                <a:ea typeface="+mn-ea"/>
                <a:cs typeface="+mn-cs"/>
              </a:defRPr>
            </a:lvl4pPr>
            <a:lvl5pPr marL="1828384" algn="l" rtl="0" fontAlgn="base">
              <a:spcBef>
                <a:spcPct val="0"/>
              </a:spcBef>
              <a:spcAft>
                <a:spcPct val="0"/>
              </a:spcAft>
              <a:defRPr sz="2800" kern="1200">
                <a:solidFill>
                  <a:srgbClr val="447D1B"/>
                </a:solidFill>
                <a:latin typeface="Arial" pitchFamily="34" charset="0"/>
                <a:ea typeface="+mn-ea"/>
                <a:cs typeface="+mn-cs"/>
              </a:defRPr>
            </a:lvl5pPr>
            <a:lvl6pPr marL="2285480" algn="l" defTabSz="914192" rtl="0" eaLnBrk="1" latinLnBrk="0" hangingPunct="1">
              <a:defRPr sz="2800" kern="1200">
                <a:solidFill>
                  <a:srgbClr val="447D1B"/>
                </a:solidFill>
                <a:latin typeface="Arial" pitchFamily="34" charset="0"/>
                <a:ea typeface="+mn-ea"/>
                <a:cs typeface="+mn-cs"/>
              </a:defRPr>
            </a:lvl6pPr>
            <a:lvl7pPr marL="2742576" algn="l" defTabSz="914192" rtl="0" eaLnBrk="1" latinLnBrk="0" hangingPunct="1">
              <a:defRPr sz="2800" kern="1200">
                <a:solidFill>
                  <a:srgbClr val="447D1B"/>
                </a:solidFill>
                <a:latin typeface="Arial" pitchFamily="34" charset="0"/>
                <a:ea typeface="+mn-ea"/>
                <a:cs typeface="+mn-cs"/>
              </a:defRPr>
            </a:lvl7pPr>
            <a:lvl8pPr marL="3199672" algn="l" defTabSz="914192" rtl="0" eaLnBrk="1" latinLnBrk="0" hangingPunct="1">
              <a:defRPr sz="2800" kern="1200">
                <a:solidFill>
                  <a:srgbClr val="447D1B"/>
                </a:solidFill>
                <a:latin typeface="Arial" pitchFamily="34" charset="0"/>
                <a:ea typeface="+mn-ea"/>
                <a:cs typeface="+mn-cs"/>
              </a:defRPr>
            </a:lvl8pPr>
            <a:lvl9pPr marL="3656768" algn="l" defTabSz="914192" rtl="0" eaLnBrk="1" latinLnBrk="0" hangingPunct="1">
              <a:defRPr sz="2800" kern="1200">
                <a:solidFill>
                  <a:srgbClr val="447D1B"/>
                </a:solidFill>
                <a:latin typeface="Arial" pitchFamily="34" charset="0"/>
                <a:ea typeface="+mn-ea"/>
                <a:cs typeface="+mn-cs"/>
              </a:defRPr>
            </a:lvl9pPr>
          </a:lstStyle>
          <a:p>
            <a:r>
              <a:rPr lang="en-GB" sz="2400">
                <a:solidFill>
                  <a:schemeClr val="accent4">
                    <a:lumMod val="10000"/>
                  </a:schemeClr>
                </a:solidFill>
              </a:rPr>
              <a:t>-</a:t>
            </a:r>
          </a:p>
        </xdr:txBody>
      </xdr:sp>
    </xdr:grpSp>
    <xdr:clientData/>
  </xdr:twoCellAnchor>
  <xdr:twoCellAnchor editAs="oneCell">
    <xdr:from>
      <xdr:col>59</xdr:col>
      <xdr:colOff>76200</xdr:colOff>
      <xdr:row>2</xdr:row>
      <xdr:rowOff>152400</xdr:rowOff>
    </xdr:from>
    <xdr:to>
      <xdr:col>65</xdr:col>
      <xdr:colOff>554580</xdr:colOff>
      <xdr:row>19</xdr:row>
      <xdr:rowOff>18516</xdr:rowOff>
    </xdr:to>
    <xdr:pic>
      <xdr:nvPicPr>
        <xdr:cNvPr id="30" name="Picture 29">
          <a:extLst>
            <a:ext uri="{FF2B5EF4-FFF2-40B4-BE49-F238E27FC236}">
              <a16:creationId xmlns:a16="http://schemas.microsoft.com/office/drawing/2014/main" id="{725D1948-5FD6-4E4A-BCBE-9BCFDB31C06B}"/>
            </a:ext>
          </a:extLst>
        </xdr:cNvPr>
        <xdr:cNvPicPr>
          <a:picLocks noChangeAspect="1"/>
        </xdr:cNvPicPr>
      </xdr:nvPicPr>
      <xdr:blipFill>
        <a:blip xmlns:r="http://schemas.openxmlformats.org/officeDocument/2006/relationships" r:embed="rId10"/>
        <a:stretch>
          <a:fillRect/>
        </a:stretch>
      </xdr:blipFill>
      <xdr:spPr>
        <a:xfrm>
          <a:off x="9182100" y="533400"/>
          <a:ext cx="4135980" cy="31046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34</xdr:row>
      <xdr:rowOff>17021</xdr:rowOff>
    </xdr:from>
    <xdr:to>
      <xdr:col>2</xdr:col>
      <xdr:colOff>2647949</xdr:colOff>
      <xdr:row>50</xdr:row>
      <xdr:rowOff>161351</xdr:rowOff>
    </xdr:to>
    <xdr:pic>
      <xdr:nvPicPr>
        <xdr:cNvPr id="2" name="Picture 1">
          <a:extLst>
            <a:ext uri="{FF2B5EF4-FFF2-40B4-BE49-F238E27FC236}">
              <a16:creationId xmlns:a16="http://schemas.microsoft.com/office/drawing/2014/main" id="{02799DDB-6635-46C1-9599-8EA4718604F9}"/>
            </a:ext>
          </a:extLst>
        </xdr:cNvPr>
        <xdr:cNvPicPr>
          <a:picLocks noChangeAspect="1"/>
        </xdr:cNvPicPr>
      </xdr:nvPicPr>
      <xdr:blipFill>
        <a:blip xmlns:r="http://schemas.openxmlformats.org/officeDocument/2006/relationships" r:embed="rId1"/>
        <a:stretch>
          <a:fillRect/>
        </a:stretch>
      </xdr:blipFill>
      <xdr:spPr>
        <a:xfrm>
          <a:off x="180975" y="6522596"/>
          <a:ext cx="3686174" cy="3230430"/>
        </a:xfrm>
        <a:prstGeom prst="rect">
          <a:avLst/>
        </a:prstGeom>
      </xdr:spPr>
    </xdr:pic>
    <xdr:clientData/>
  </xdr:twoCellAnchor>
  <xdr:twoCellAnchor editAs="oneCell">
    <xdr:from>
      <xdr:col>0</xdr:col>
      <xdr:colOff>266700</xdr:colOff>
      <xdr:row>0</xdr:row>
      <xdr:rowOff>85726</xdr:rowOff>
    </xdr:from>
    <xdr:to>
      <xdr:col>2</xdr:col>
      <xdr:colOff>2559894</xdr:colOff>
      <xdr:row>16</xdr:row>
      <xdr:rowOff>47065</xdr:rowOff>
    </xdr:to>
    <xdr:pic>
      <xdr:nvPicPr>
        <xdr:cNvPr id="3" name="Picture 2">
          <a:extLst>
            <a:ext uri="{FF2B5EF4-FFF2-40B4-BE49-F238E27FC236}">
              <a16:creationId xmlns:a16="http://schemas.microsoft.com/office/drawing/2014/main" id="{EF99FB10-77C3-4EFA-8660-C771CA8DFDFD}"/>
            </a:ext>
          </a:extLst>
        </xdr:cNvPr>
        <xdr:cNvPicPr>
          <a:picLocks noChangeAspect="1"/>
        </xdr:cNvPicPr>
      </xdr:nvPicPr>
      <xdr:blipFill>
        <a:blip xmlns:r="http://schemas.openxmlformats.org/officeDocument/2006/relationships" r:embed="rId2"/>
        <a:stretch>
          <a:fillRect/>
        </a:stretch>
      </xdr:blipFill>
      <xdr:spPr>
        <a:xfrm>
          <a:off x="266700" y="85726"/>
          <a:ext cx="3512394" cy="3018864"/>
        </a:xfrm>
        <a:prstGeom prst="rect">
          <a:avLst/>
        </a:prstGeom>
      </xdr:spPr>
    </xdr:pic>
    <xdr:clientData/>
  </xdr:twoCellAnchor>
  <xdr:twoCellAnchor editAs="oneCell">
    <xdr:from>
      <xdr:col>0</xdr:col>
      <xdr:colOff>57150</xdr:colOff>
      <xdr:row>17</xdr:row>
      <xdr:rowOff>50446</xdr:rowOff>
    </xdr:from>
    <xdr:to>
      <xdr:col>2</xdr:col>
      <xdr:colOff>2276475</xdr:colOff>
      <xdr:row>33</xdr:row>
      <xdr:rowOff>76200</xdr:rowOff>
    </xdr:to>
    <xdr:pic>
      <xdr:nvPicPr>
        <xdr:cNvPr id="4" name="Picture 3">
          <a:extLst>
            <a:ext uri="{FF2B5EF4-FFF2-40B4-BE49-F238E27FC236}">
              <a16:creationId xmlns:a16="http://schemas.microsoft.com/office/drawing/2014/main" id="{25D7346C-D6C9-42F0-9785-E3AE2062361F}"/>
            </a:ext>
          </a:extLst>
        </xdr:cNvPr>
        <xdr:cNvPicPr>
          <a:picLocks noChangeAspect="1"/>
        </xdr:cNvPicPr>
      </xdr:nvPicPr>
      <xdr:blipFill>
        <a:blip xmlns:r="http://schemas.openxmlformats.org/officeDocument/2006/relationships" r:embed="rId3"/>
        <a:stretch>
          <a:fillRect/>
        </a:stretch>
      </xdr:blipFill>
      <xdr:spPr>
        <a:xfrm>
          <a:off x="57150" y="3298471"/>
          <a:ext cx="3438525" cy="3092804"/>
        </a:xfrm>
        <a:prstGeom prst="rect">
          <a:avLst/>
        </a:prstGeom>
      </xdr:spPr>
    </xdr:pic>
    <xdr:clientData/>
  </xdr:twoCellAnchor>
  <xdr:twoCellAnchor editAs="oneCell">
    <xdr:from>
      <xdr:col>4</xdr:col>
      <xdr:colOff>371475</xdr:colOff>
      <xdr:row>28</xdr:row>
      <xdr:rowOff>142875</xdr:rowOff>
    </xdr:from>
    <xdr:to>
      <xdr:col>6</xdr:col>
      <xdr:colOff>66586</xdr:colOff>
      <xdr:row>31</xdr:row>
      <xdr:rowOff>170765</xdr:rowOff>
    </xdr:to>
    <xdr:pic>
      <xdr:nvPicPr>
        <xdr:cNvPr id="5" name="Picture 4">
          <a:extLst>
            <a:ext uri="{FF2B5EF4-FFF2-40B4-BE49-F238E27FC236}">
              <a16:creationId xmlns:a16="http://schemas.microsoft.com/office/drawing/2014/main" id="{0287E617-38A3-4266-ABFC-2194D61AFFD1}"/>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6086475" y="5495925"/>
          <a:ext cx="914311" cy="599390"/>
        </a:xfrm>
        <a:prstGeom prst="rect">
          <a:avLst/>
        </a:prstGeom>
      </xdr:spPr>
    </xdr:pic>
    <xdr:clientData/>
  </xdr:twoCellAnchor>
  <xdr:twoCellAnchor>
    <xdr:from>
      <xdr:col>31</xdr:col>
      <xdr:colOff>190501</xdr:colOff>
      <xdr:row>28</xdr:row>
      <xdr:rowOff>38099</xdr:rowOff>
    </xdr:from>
    <xdr:to>
      <xdr:col>33</xdr:col>
      <xdr:colOff>552451</xdr:colOff>
      <xdr:row>31</xdr:row>
      <xdr:rowOff>142874</xdr:rowOff>
    </xdr:to>
    <xdr:grpSp>
      <xdr:nvGrpSpPr>
        <xdr:cNvPr id="6" name="Group 5">
          <a:extLst>
            <a:ext uri="{FF2B5EF4-FFF2-40B4-BE49-F238E27FC236}">
              <a16:creationId xmlns:a16="http://schemas.microsoft.com/office/drawing/2014/main" id="{8EA11A5F-7EE3-49D1-A8A2-07511F4DD88B}"/>
            </a:ext>
          </a:extLst>
        </xdr:cNvPr>
        <xdr:cNvGrpSpPr/>
      </xdr:nvGrpSpPr>
      <xdr:grpSpPr>
        <a:xfrm>
          <a:off x="29051251" y="5391149"/>
          <a:ext cx="1581150" cy="676275"/>
          <a:chOff x="60683775" y="2828925"/>
          <a:chExt cx="2308426" cy="1122929"/>
        </a:xfrm>
      </xdr:grpSpPr>
      <xdr:pic>
        <xdr:nvPicPr>
          <xdr:cNvPr id="7" name="Picture 6">
            <a:extLst>
              <a:ext uri="{FF2B5EF4-FFF2-40B4-BE49-F238E27FC236}">
                <a16:creationId xmlns:a16="http://schemas.microsoft.com/office/drawing/2014/main" id="{27D3E7B3-AD82-49E0-9658-6F3C070DA916}"/>
              </a:ext>
            </a:extLst>
          </xdr:cNvPr>
          <xdr:cNvPicPr>
            <a:picLocks noChangeAspect="1"/>
          </xdr:cNvPicPr>
        </xdr:nvPicPr>
        <xdr:blipFill>
          <a:blip xmlns:r="http://schemas.openxmlformats.org/officeDocument/2006/relationships" r:embed="rId5"/>
          <a:stretch>
            <a:fillRect/>
          </a:stretch>
        </xdr:blipFill>
        <xdr:spPr>
          <a:xfrm>
            <a:off x="60683775" y="2828925"/>
            <a:ext cx="2308426" cy="1122929"/>
          </a:xfrm>
          <a:prstGeom prst="rect">
            <a:avLst/>
          </a:prstGeom>
        </xdr:spPr>
      </xdr:pic>
      <xdr:pic>
        <xdr:nvPicPr>
          <xdr:cNvPr id="8" name="Picture 7">
            <a:extLst>
              <a:ext uri="{FF2B5EF4-FFF2-40B4-BE49-F238E27FC236}">
                <a16:creationId xmlns:a16="http://schemas.microsoft.com/office/drawing/2014/main" id="{E19F1718-1C6E-4116-8982-224A3B8D05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380996</xdr:colOff>
      <xdr:row>13</xdr:row>
      <xdr:rowOff>177574</xdr:rowOff>
    </xdr:from>
    <xdr:to>
      <xdr:col>1</xdr:col>
      <xdr:colOff>1754063</xdr:colOff>
      <xdr:row>17</xdr:row>
      <xdr:rowOff>149085</xdr:rowOff>
    </xdr:to>
    <xdr:pic>
      <xdr:nvPicPr>
        <xdr:cNvPr id="7" name="Picture 6" descr="SP Energy Networks | LinkedIn">
          <a:extLst>
            <a:ext uri="{FF2B5EF4-FFF2-40B4-BE49-F238E27FC236}">
              <a16:creationId xmlns:a16="http://schemas.microsoft.com/office/drawing/2014/main" id="{6F1A6163-67CA-4521-9D1E-773B11DA88F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2500" b="25500"/>
        <a:stretch/>
      </xdr:blipFill>
      <xdr:spPr bwMode="auto">
        <a:xfrm>
          <a:off x="987774" y="2654074"/>
          <a:ext cx="1373067" cy="727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2040114</xdr:colOff>
      <xdr:row>13</xdr:row>
      <xdr:rowOff>44146</xdr:rowOff>
    </xdr:from>
    <xdr:to>
      <xdr:col>1</xdr:col>
      <xdr:colOff>3509061</xdr:colOff>
      <xdr:row>21</xdr:row>
      <xdr:rowOff>101749</xdr:rowOff>
    </xdr:to>
    <xdr:grpSp>
      <xdr:nvGrpSpPr>
        <xdr:cNvPr id="17" name="Group 16">
          <a:extLst>
            <a:ext uri="{FF2B5EF4-FFF2-40B4-BE49-F238E27FC236}">
              <a16:creationId xmlns:a16="http://schemas.microsoft.com/office/drawing/2014/main" id="{090E4122-09B4-4D8E-ABB7-92037A695100}"/>
            </a:ext>
          </a:extLst>
        </xdr:cNvPr>
        <xdr:cNvGrpSpPr/>
      </xdr:nvGrpSpPr>
      <xdr:grpSpPr>
        <a:xfrm>
          <a:off x="2653947" y="2340729"/>
          <a:ext cx="1468947" cy="1581603"/>
          <a:chOff x="6912711" y="207070"/>
          <a:chExt cx="2396218" cy="2400300"/>
        </a:xfrm>
      </xdr:grpSpPr>
      <xdr:pic>
        <xdr:nvPicPr>
          <xdr:cNvPr id="9" name="Picture 8" descr="Transparent Background Calculator Clipart">
            <a:extLst>
              <a:ext uri="{FF2B5EF4-FFF2-40B4-BE49-F238E27FC236}">
                <a16:creationId xmlns:a16="http://schemas.microsoft.com/office/drawing/2014/main" id="{EEB40077-5926-46DA-A7BA-17DAE1E68F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2711" y="207070"/>
            <a:ext cx="2396218" cy="24003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Rectangle 7">
            <a:extLst>
              <a:ext uri="{FF2B5EF4-FFF2-40B4-BE49-F238E27FC236}">
                <a16:creationId xmlns:a16="http://schemas.microsoft.com/office/drawing/2014/main" id="{F9CB2A88-E271-4C77-B3AB-1F8306A4F1F9}"/>
              </a:ext>
            </a:extLst>
          </xdr:cNvPr>
          <xdr:cNvSpPr/>
        </xdr:nvSpPr>
        <xdr:spPr>
          <a:xfrm>
            <a:off x="7480136" y="529318"/>
            <a:ext cx="1225714" cy="472738"/>
          </a:xfrm>
          <a:prstGeom prst="rect">
            <a:avLst/>
          </a:prstGeom>
          <a:noFill/>
        </xdr:spPr>
        <xdr:txBody>
          <a:bodyPr wrap="square" lIns="91440" tIns="45720" rIns="91440" bIns="45720">
            <a:spAutoFit/>
          </a:bodyPr>
          <a:lstStyle/>
          <a:p>
            <a:pPr algn="ctr"/>
            <a:r>
              <a:rPr lang="en-US" sz="1400" b="1" cap="none" spc="0">
                <a:ln w="9525">
                  <a:solidFill>
                    <a:schemeClr val="accent6">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grpSp>
    <xdr:clientData/>
  </xdr:twoCellAnchor>
  <xdr:twoCellAnchor editAs="oneCell">
    <xdr:from>
      <xdr:col>6</xdr:col>
      <xdr:colOff>271287</xdr:colOff>
      <xdr:row>1</xdr:row>
      <xdr:rowOff>70201</xdr:rowOff>
    </xdr:from>
    <xdr:to>
      <xdr:col>29</xdr:col>
      <xdr:colOff>433917</xdr:colOff>
      <xdr:row>21</xdr:row>
      <xdr:rowOff>105883</xdr:rowOff>
    </xdr:to>
    <xdr:pic>
      <xdr:nvPicPr>
        <xdr:cNvPr id="2" name="Picture 1">
          <a:extLst>
            <a:ext uri="{FF2B5EF4-FFF2-40B4-BE49-F238E27FC236}">
              <a16:creationId xmlns:a16="http://schemas.microsoft.com/office/drawing/2014/main" id="{1D8C5F80-4828-4E84-915B-822124A2B6BD}"/>
            </a:ext>
          </a:extLst>
        </xdr:cNvPr>
        <xdr:cNvPicPr>
          <a:picLocks noChangeAspect="1"/>
        </xdr:cNvPicPr>
      </xdr:nvPicPr>
      <xdr:blipFill>
        <a:blip xmlns:r="http://schemas.openxmlformats.org/officeDocument/2006/relationships" r:embed="rId3"/>
        <a:stretch>
          <a:fillRect/>
        </a:stretch>
      </xdr:blipFill>
      <xdr:spPr>
        <a:xfrm>
          <a:off x="8251120" y="260701"/>
          <a:ext cx="3803297" cy="3665765"/>
        </a:xfrm>
        <a:prstGeom prst="rect">
          <a:avLst/>
        </a:prstGeom>
      </xdr:spPr>
    </xdr:pic>
    <xdr:clientData/>
  </xdr:twoCellAnchor>
  <xdr:twoCellAnchor editAs="oneCell">
    <xdr:from>
      <xdr:col>1</xdr:col>
      <xdr:colOff>186619</xdr:colOff>
      <xdr:row>17</xdr:row>
      <xdr:rowOff>189796</xdr:rowOff>
    </xdr:from>
    <xdr:to>
      <xdr:col>1</xdr:col>
      <xdr:colOff>1882423</xdr:colOff>
      <xdr:row>20</xdr:row>
      <xdr:rowOff>36748</xdr:rowOff>
    </xdr:to>
    <xdr:pic>
      <xdr:nvPicPr>
        <xdr:cNvPr id="3" name="Picture 2">
          <a:extLst>
            <a:ext uri="{FF2B5EF4-FFF2-40B4-BE49-F238E27FC236}">
              <a16:creationId xmlns:a16="http://schemas.microsoft.com/office/drawing/2014/main" id="{6B27508D-C676-4A5F-A28E-F59F1FDAD8CC}"/>
            </a:ext>
          </a:extLst>
        </xdr:cNvPr>
        <xdr:cNvPicPr>
          <a:picLocks noChangeAspect="1"/>
        </xdr:cNvPicPr>
      </xdr:nvPicPr>
      <xdr:blipFill>
        <a:blip xmlns:r="http://schemas.openxmlformats.org/officeDocument/2006/relationships" r:embed="rId4"/>
        <a:stretch>
          <a:fillRect/>
        </a:stretch>
      </xdr:blipFill>
      <xdr:spPr>
        <a:xfrm>
          <a:off x="793397" y="3428296"/>
          <a:ext cx="1686279" cy="418452"/>
        </a:xfrm>
        <a:prstGeom prst="rect">
          <a:avLst/>
        </a:prstGeom>
      </xdr:spPr>
    </xdr:pic>
    <xdr:clientData/>
  </xdr:twoCellAnchor>
  <xdr:twoCellAnchor editAs="oneCell">
    <xdr:from>
      <xdr:col>1</xdr:col>
      <xdr:colOff>1499055</xdr:colOff>
      <xdr:row>23</xdr:row>
      <xdr:rowOff>105834</xdr:rowOff>
    </xdr:from>
    <xdr:to>
      <xdr:col>2</xdr:col>
      <xdr:colOff>64113</xdr:colOff>
      <xdr:row>28</xdr:row>
      <xdr:rowOff>4204</xdr:rowOff>
    </xdr:to>
    <xdr:pic>
      <xdr:nvPicPr>
        <xdr:cNvPr id="11" name="Picture 10" descr="https://www.spenergynetworks.co.uk/userfiles/image/heatup_ben_01.png">
          <a:extLst>
            <a:ext uri="{FF2B5EF4-FFF2-40B4-BE49-F238E27FC236}">
              <a16:creationId xmlns:a16="http://schemas.microsoft.com/office/drawing/2014/main" id="{FC1D5403-BDD0-46A7-ABD4-B6F127223CA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112888" y="4307417"/>
          <a:ext cx="2089308" cy="861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529167</xdr:colOff>
      <xdr:row>23</xdr:row>
      <xdr:rowOff>137584</xdr:rowOff>
    </xdr:from>
    <xdr:to>
      <xdr:col>1</xdr:col>
      <xdr:colOff>1876588</xdr:colOff>
      <xdr:row>27</xdr:row>
      <xdr:rowOff>147197</xdr:rowOff>
    </xdr:to>
    <xdr:pic>
      <xdr:nvPicPr>
        <xdr:cNvPr id="12" name="Picture 11" descr="https://www.spenergynetworks.co.uk/userfiles/image/evup_ben_01.png">
          <a:extLst>
            <a:ext uri="{FF2B5EF4-FFF2-40B4-BE49-F238E27FC236}">
              <a16:creationId xmlns:a16="http://schemas.microsoft.com/office/drawing/2014/main" id="{7B9A3A1C-D3DC-4F24-B9C5-4D31B6D24D2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9167" y="4339167"/>
          <a:ext cx="1961254" cy="771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677333</xdr:colOff>
      <xdr:row>24</xdr:row>
      <xdr:rowOff>84667</xdr:rowOff>
    </xdr:from>
    <xdr:ext cx="2664498" cy="405432"/>
    <xdr:sp macro="" textlink="">
      <xdr:nvSpPr>
        <xdr:cNvPr id="13" name="Rectangle 12">
          <a:extLst>
            <a:ext uri="{FF2B5EF4-FFF2-40B4-BE49-F238E27FC236}">
              <a16:creationId xmlns:a16="http://schemas.microsoft.com/office/drawing/2014/main" id="{452A746F-2411-41C5-85F1-5CDA24C59FF6}"/>
            </a:ext>
          </a:extLst>
        </xdr:cNvPr>
        <xdr:cNvSpPr/>
      </xdr:nvSpPr>
      <xdr:spPr>
        <a:xfrm>
          <a:off x="4815416" y="4476750"/>
          <a:ext cx="2664498" cy="405432"/>
        </a:xfrm>
        <a:prstGeom prst="rect">
          <a:avLst/>
        </a:prstGeom>
        <a:noFill/>
      </xdr:spPr>
      <xdr:txBody>
        <a:bodyPr wrap="square" lIns="91440" tIns="45720" rIns="91440" bIns="45720">
          <a:spAutoFit/>
        </a:bodyPr>
        <a:lstStyle/>
        <a:p>
          <a:pPr algn="ctr"/>
          <a:r>
            <a:rPr lang="en-US" sz="20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Detailed Breakdown</a:t>
          </a:r>
        </a:p>
      </xdr:txBody>
    </xdr:sp>
    <xdr:clientData/>
  </xdr:oneCellAnchor>
  <xdr:oneCellAnchor>
    <xdr:from>
      <xdr:col>1</xdr:col>
      <xdr:colOff>501650</xdr:colOff>
      <xdr:row>0</xdr:row>
      <xdr:rowOff>0</xdr:rowOff>
    </xdr:from>
    <xdr:ext cx="4673599" cy="405432"/>
    <xdr:sp macro="" textlink="">
      <xdr:nvSpPr>
        <xdr:cNvPr id="14" name="Rectangle 13">
          <a:extLst>
            <a:ext uri="{FF2B5EF4-FFF2-40B4-BE49-F238E27FC236}">
              <a16:creationId xmlns:a16="http://schemas.microsoft.com/office/drawing/2014/main" id="{72C59DA2-BB4A-4A73-A30F-B0C3B6998966}"/>
            </a:ext>
          </a:extLst>
        </xdr:cNvPr>
        <xdr:cNvSpPr/>
      </xdr:nvSpPr>
      <xdr:spPr>
        <a:xfrm>
          <a:off x="1115483" y="0"/>
          <a:ext cx="4673599" cy="405432"/>
        </a:xfrm>
        <a:prstGeom prst="rect">
          <a:avLst/>
        </a:prstGeom>
        <a:noFill/>
      </xdr:spPr>
      <xdr:txBody>
        <a:bodyPr wrap="square" lIns="91440" tIns="45720" rIns="91440" bIns="45720">
          <a:spAutoFit/>
        </a:bodyPr>
        <a:lstStyle/>
        <a:p>
          <a:pPr algn="ctr"/>
          <a:r>
            <a:rPr lang="en-US" sz="20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r>
            <a:rPr lang="en-US" sz="2000" b="1" cap="none" spc="0" baseline="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 Calculator for 20+ Properties </a:t>
          </a:r>
          <a:endParaRPr lang="en-US" sz="20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endParaRPr>
        </a:p>
      </xdr:txBody>
    </xdr:sp>
    <xdr:clientData/>
  </xdr:oneCellAnchor>
  <xdr:twoCellAnchor editAs="oneCell">
    <xdr:from>
      <xdr:col>3</xdr:col>
      <xdr:colOff>137584</xdr:colOff>
      <xdr:row>0</xdr:row>
      <xdr:rowOff>0</xdr:rowOff>
    </xdr:from>
    <xdr:to>
      <xdr:col>3</xdr:col>
      <xdr:colOff>1543532</xdr:colOff>
      <xdr:row>1</xdr:row>
      <xdr:rowOff>147753</xdr:rowOff>
    </xdr:to>
    <xdr:pic>
      <xdr:nvPicPr>
        <xdr:cNvPr id="16" name="Picture 15">
          <a:extLst>
            <a:ext uri="{FF2B5EF4-FFF2-40B4-BE49-F238E27FC236}">
              <a16:creationId xmlns:a16="http://schemas.microsoft.com/office/drawing/2014/main" id="{C381684B-251D-4D29-ADBB-9ED3279FC4D9}"/>
            </a:ext>
          </a:extLst>
        </xdr:cNvPr>
        <xdr:cNvPicPr>
          <a:picLocks noChangeAspect="1"/>
        </xdr:cNvPicPr>
      </xdr:nvPicPr>
      <xdr:blipFill>
        <a:blip xmlns:r="http://schemas.openxmlformats.org/officeDocument/2006/relationships" r:embed="rId7"/>
        <a:stretch>
          <a:fillRect/>
        </a:stretch>
      </xdr:blipFill>
      <xdr:spPr>
        <a:xfrm>
          <a:off x="6466417" y="0"/>
          <a:ext cx="1405948" cy="3382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419099</xdr:colOff>
      <xdr:row>28</xdr:row>
      <xdr:rowOff>158749</xdr:rowOff>
    </xdr:from>
    <xdr:to>
      <xdr:col>1</xdr:col>
      <xdr:colOff>5865377</xdr:colOff>
      <xdr:row>53</xdr:row>
      <xdr:rowOff>92074</xdr:rowOff>
    </xdr:to>
    <xdr:pic>
      <xdr:nvPicPr>
        <xdr:cNvPr id="2" name="Picture 1">
          <a:extLst>
            <a:ext uri="{FF2B5EF4-FFF2-40B4-BE49-F238E27FC236}">
              <a16:creationId xmlns:a16="http://schemas.microsoft.com/office/drawing/2014/main" id="{B6BD488B-C217-43E3-913D-40A058850BB1}"/>
            </a:ext>
          </a:extLst>
        </xdr:cNvPr>
        <xdr:cNvPicPr>
          <a:picLocks noChangeAspect="1"/>
        </xdr:cNvPicPr>
      </xdr:nvPicPr>
      <xdr:blipFill>
        <a:blip xmlns:r="http://schemas.openxmlformats.org/officeDocument/2006/relationships" r:embed="rId1"/>
        <a:stretch>
          <a:fillRect/>
        </a:stretch>
      </xdr:blipFill>
      <xdr:spPr>
        <a:xfrm>
          <a:off x="1030287" y="5572124"/>
          <a:ext cx="5446278" cy="4686300"/>
        </a:xfrm>
        <a:prstGeom prst="rect">
          <a:avLst/>
        </a:prstGeom>
      </xdr:spPr>
    </xdr:pic>
    <xdr:clientData/>
  </xdr:twoCellAnchor>
  <xdr:twoCellAnchor editAs="oneCell">
    <xdr:from>
      <xdr:col>3</xdr:col>
      <xdr:colOff>200026</xdr:colOff>
      <xdr:row>22</xdr:row>
      <xdr:rowOff>19051</xdr:rowOff>
    </xdr:from>
    <xdr:to>
      <xdr:col>3</xdr:col>
      <xdr:colOff>2166937</xdr:colOff>
      <xdr:row>27</xdr:row>
      <xdr:rowOff>109678</xdr:rowOff>
    </xdr:to>
    <xdr:pic>
      <xdr:nvPicPr>
        <xdr:cNvPr id="3" name="Picture 2" descr="SP Energy Networks | LinkedIn">
          <a:extLst>
            <a:ext uri="{FF2B5EF4-FFF2-40B4-BE49-F238E27FC236}">
              <a16:creationId xmlns:a16="http://schemas.microsoft.com/office/drawing/2014/main" id="{E26E582D-7462-4391-8D70-DEF80118DA5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500" b="25500"/>
        <a:stretch/>
      </xdr:blipFill>
      <xdr:spPr bwMode="auto">
        <a:xfrm>
          <a:off x="9153526" y="4245770"/>
          <a:ext cx="1966911" cy="1055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2476500</xdr:colOff>
      <xdr:row>23</xdr:row>
      <xdr:rowOff>71437</xdr:rowOff>
    </xdr:from>
    <xdr:to>
      <xdr:col>5</xdr:col>
      <xdr:colOff>476250</xdr:colOff>
      <xdr:row>26</xdr:row>
      <xdr:rowOff>102218</xdr:rowOff>
    </xdr:to>
    <xdr:pic>
      <xdr:nvPicPr>
        <xdr:cNvPr id="4" name="Picture 3">
          <a:extLst>
            <a:ext uri="{FF2B5EF4-FFF2-40B4-BE49-F238E27FC236}">
              <a16:creationId xmlns:a16="http://schemas.microsoft.com/office/drawing/2014/main" id="{785AAAF7-E132-496C-978E-C2263C356438}"/>
            </a:ext>
          </a:extLst>
        </xdr:cNvPr>
        <xdr:cNvPicPr>
          <a:picLocks noChangeAspect="1"/>
        </xdr:cNvPicPr>
      </xdr:nvPicPr>
      <xdr:blipFill>
        <a:blip xmlns:r="http://schemas.openxmlformats.org/officeDocument/2006/relationships" r:embed="rId3"/>
        <a:stretch>
          <a:fillRect/>
        </a:stretch>
      </xdr:blipFill>
      <xdr:spPr>
        <a:xfrm>
          <a:off x="11430000" y="4488656"/>
          <a:ext cx="2440781" cy="6022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606955</xdr:colOff>
      <xdr:row>14</xdr:row>
      <xdr:rowOff>11909</xdr:rowOff>
    </xdr:to>
    <xdr:sp macro="" textlink="">
      <xdr:nvSpPr>
        <xdr:cNvPr id="2" name="TextBox 1">
          <a:extLst>
            <a:ext uri="{FF2B5EF4-FFF2-40B4-BE49-F238E27FC236}">
              <a16:creationId xmlns:a16="http://schemas.microsoft.com/office/drawing/2014/main" id="{85E50983-05C8-45CD-93D5-EBF04931106E}"/>
            </a:ext>
          </a:extLst>
        </xdr:cNvPr>
        <xdr:cNvSpPr txBox="1"/>
      </xdr:nvSpPr>
      <xdr:spPr>
        <a:xfrm>
          <a:off x="0" y="0"/>
          <a:ext cx="5483755" cy="26789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accent6"/>
              </a:solidFill>
            </a:rPr>
            <a:t>SPEN ADMD</a:t>
          </a:r>
          <a:r>
            <a:rPr lang="en-GB" sz="1100" b="1" baseline="0">
              <a:solidFill>
                <a:schemeClr val="accent6"/>
              </a:solidFill>
            </a:rPr>
            <a:t> Calculator </a:t>
          </a:r>
          <a:r>
            <a:rPr lang="en-GB" sz="1100" b="1">
              <a:solidFill>
                <a:schemeClr val="accent6"/>
              </a:solidFill>
            </a:rPr>
            <a:t>User</a:t>
          </a:r>
          <a:r>
            <a:rPr lang="en-GB" sz="1100" b="1" baseline="0">
              <a:solidFill>
                <a:schemeClr val="accent6"/>
              </a:solidFill>
            </a:rPr>
            <a:t> Guide:</a:t>
          </a:r>
        </a:p>
        <a:p>
          <a:r>
            <a:rPr lang="en-GB" sz="1100" b="1" baseline="0">
              <a:solidFill>
                <a:schemeClr val="accent1"/>
              </a:solidFill>
            </a:rPr>
            <a:t>This calculator is designed to determine the level of capacity (in kW) LV mains feeders and substations will need, for both new and existing developments, through understanding of the effects LCTs have on ADMD and the subsequent strain on the network caused.</a:t>
          </a:r>
        </a:p>
        <a:p>
          <a:pPr marL="171450" indent="-171450">
            <a:buFont typeface="Arial" panose="020B0604020202020204" pitchFamily="34" charset="0"/>
            <a:buChar char="•"/>
          </a:pPr>
          <a:r>
            <a:rPr lang="en-GB" sz="1000" baseline="0"/>
            <a:t>Simply fill in column </a:t>
          </a:r>
          <a:r>
            <a:rPr lang="en-GB" sz="1000" b="1" baseline="0">
              <a:solidFill>
                <a:schemeClr val="accent2"/>
              </a:solidFill>
            </a:rPr>
            <a:t>D cells 4-13 </a:t>
          </a:r>
          <a:r>
            <a:rPr lang="en-GB" sz="1000" baseline="0"/>
            <a:t>with the configuration you require prompted by the questions in Column B. The outputs from your "run" can be viewed in </a:t>
          </a:r>
          <a:r>
            <a:rPr lang="en-GB" sz="1000" b="1" baseline="0">
              <a:solidFill>
                <a:schemeClr val="accent2"/>
              </a:solidFill>
            </a:rPr>
            <a:t>Cells D17-20</a:t>
          </a:r>
        </a:p>
        <a:p>
          <a:pPr marL="171450" indent="-171450">
            <a:buFont typeface="Arial" panose="020B0604020202020204" pitchFamily="34" charset="0"/>
            <a:buChar char="•"/>
          </a:pPr>
          <a:r>
            <a:rPr lang="en-GB" sz="1000" baseline="0"/>
            <a:t>A standard example is already populated when the user opens an unedited version (V1.06)</a:t>
          </a:r>
        </a:p>
        <a:p>
          <a:pPr marL="171450" indent="-171450">
            <a:buFont typeface="Arial" panose="020B0604020202020204" pitchFamily="34" charset="0"/>
            <a:buChar char="•"/>
          </a:pPr>
          <a:r>
            <a:rPr lang="en-GB" sz="1000" baseline="0"/>
            <a:t>All other cells that are locked should not need edited by the user</a:t>
          </a:r>
        </a:p>
        <a:p>
          <a:pPr marL="171450" indent="-171450">
            <a:buFont typeface="Arial" panose="020B0604020202020204" pitchFamily="34" charset="0"/>
            <a:buChar char="•"/>
          </a:pPr>
          <a:r>
            <a:rPr lang="en-GB" sz="1000" baseline="0"/>
            <a:t>Drop down menus in some cells are there to assist/reduce error. Otherwise type your number</a:t>
          </a:r>
        </a:p>
        <a:p>
          <a:pPr marL="171450" indent="-171450">
            <a:buFont typeface="Arial" panose="020B0604020202020204" pitchFamily="34" charset="0"/>
            <a:buChar char="•"/>
          </a:pPr>
          <a:r>
            <a:rPr lang="en-GB" sz="1000" baseline="0"/>
            <a:t>The options/ ranges for your answers can be seen in column C</a:t>
          </a:r>
        </a:p>
        <a:p>
          <a:pPr marL="171450" indent="-171450">
            <a:buFont typeface="Arial" panose="020B0604020202020204" pitchFamily="34" charset="0"/>
            <a:buChar char="•"/>
          </a:pPr>
          <a:r>
            <a:rPr lang="en-GB" sz="1000" baseline="0"/>
            <a:t>A more detailed breakdown of your "run" can be viewed from </a:t>
          </a:r>
          <a:r>
            <a:rPr lang="en-GB" sz="1000" b="1" baseline="0">
              <a:solidFill>
                <a:schemeClr val="accent2"/>
              </a:solidFill>
            </a:rPr>
            <a:t>row 29 </a:t>
          </a:r>
          <a:r>
            <a:rPr lang="en-GB" sz="1000" baseline="0"/>
            <a:t>onwards</a:t>
          </a:r>
        </a:p>
        <a:p>
          <a:pPr marL="171450" indent="-171450">
            <a:buFont typeface="Arial" panose="020B0604020202020204" pitchFamily="34" charset="0"/>
            <a:buChar char="•"/>
          </a:pPr>
          <a:r>
            <a:rPr lang="en-GB" sz="1000" baseline="0"/>
            <a:t>Assumptions and more detailed numbers can be viewed in the "Assumptions" sheet</a:t>
          </a:r>
        </a:p>
        <a:p>
          <a:pPr marL="171450" indent="-171450">
            <a:buFont typeface="Arial" panose="020B0604020202020204" pitchFamily="34" charset="0"/>
            <a:buChar char="•"/>
          </a:pPr>
          <a:r>
            <a:rPr lang="en-GB" sz="1000" baseline="0"/>
            <a:t>Each "run" is for one feeder. To calculate total demand on a Substation with for example 3 feeders; Simply sum the results from the 3 individual feeder "runs"</a:t>
          </a:r>
        </a:p>
      </xdr:txBody>
    </xdr:sp>
    <xdr:clientData/>
  </xdr:twoCellAnchor>
  <xdr:twoCellAnchor>
    <xdr:from>
      <xdr:col>9</xdr:col>
      <xdr:colOff>298450</xdr:colOff>
      <xdr:row>0</xdr:row>
      <xdr:rowOff>19050</xdr:rowOff>
    </xdr:from>
    <xdr:to>
      <xdr:col>16</xdr:col>
      <xdr:colOff>204788</xdr:colOff>
      <xdr:row>4</xdr:row>
      <xdr:rowOff>86782</xdr:rowOff>
    </xdr:to>
    <xdr:sp macro="" textlink="">
      <xdr:nvSpPr>
        <xdr:cNvPr id="9" name="TextBox 8">
          <a:extLst>
            <a:ext uri="{FF2B5EF4-FFF2-40B4-BE49-F238E27FC236}">
              <a16:creationId xmlns:a16="http://schemas.microsoft.com/office/drawing/2014/main" id="{81E4F15E-C36D-4017-B9BA-CB4CDB81336C}"/>
            </a:ext>
          </a:extLst>
        </xdr:cNvPr>
        <xdr:cNvSpPr txBox="1"/>
      </xdr:nvSpPr>
      <xdr:spPr>
        <a:xfrm>
          <a:off x="5784850" y="19050"/>
          <a:ext cx="4173538" cy="8297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accent6"/>
              </a:solidFill>
            </a:rPr>
            <a:t>Standard</a:t>
          </a:r>
          <a:r>
            <a:rPr lang="en-GB" sz="1100" b="1" baseline="0">
              <a:solidFill>
                <a:schemeClr val="accent6"/>
              </a:solidFill>
            </a:rPr>
            <a:t> Definition: </a:t>
          </a:r>
        </a:p>
        <a:p>
          <a:r>
            <a:rPr lang="en-GB" sz="1100" b="1" baseline="0">
              <a:solidFill>
                <a:schemeClr val="accent1"/>
              </a:solidFill>
            </a:rPr>
            <a:t>Networks need to be designed for the realistic worst case ADMD. Therefore "standard" here means the peak ADMD which occurs during a 1/20 winter in the UK.</a:t>
          </a:r>
        </a:p>
      </xdr:txBody>
    </xdr:sp>
    <xdr:clientData/>
  </xdr:twoCellAnchor>
  <xdr:twoCellAnchor>
    <xdr:from>
      <xdr:col>9</xdr:col>
      <xdr:colOff>295275</xdr:colOff>
      <xdr:row>4</xdr:row>
      <xdr:rowOff>107419</xdr:rowOff>
    </xdr:from>
    <xdr:to>
      <xdr:col>16</xdr:col>
      <xdr:colOff>207963</xdr:colOff>
      <xdr:row>14</xdr:row>
      <xdr:rowOff>38100</xdr:rowOff>
    </xdr:to>
    <xdr:sp macro="" textlink="">
      <xdr:nvSpPr>
        <xdr:cNvPr id="10" name="TextBox 9">
          <a:extLst>
            <a:ext uri="{FF2B5EF4-FFF2-40B4-BE49-F238E27FC236}">
              <a16:creationId xmlns:a16="http://schemas.microsoft.com/office/drawing/2014/main" id="{A379E132-0EFF-4965-8556-EA892E47AE9F}"/>
            </a:ext>
          </a:extLst>
        </xdr:cNvPr>
        <xdr:cNvSpPr txBox="1"/>
      </xdr:nvSpPr>
      <xdr:spPr>
        <a:xfrm>
          <a:off x="5781675" y="869419"/>
          <a:ext cx="4179888" cy="18356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FF0000"/>
              </a:solidFill>
            </a:rPr>
            <a:t>Cold Load Pickup</a:t>
          </a:r>
          <a:r>
            <a:rPr lang="en-GB" sz="1100" b="1" baseline="0">
              <a:solidFill>
                <a:srgbClr val="FF0000"/>
              </a:solidFill>
            </a:rPr>
            <a:t> Definition: </a:t>
          </a:r>
        </a:p>
        <a:p>
          <a:r>
            <a:rPr lang="en-GB" sz="1100" b="1" baseline="0">
              <a:solidFill>
                <a:schemeClr val="accent1"/>
              </a:solidFill>
            </a:rPr>
            <a:t>"Cold Load" is the  peak ADMD which occurs during a 1/20 winter in the UK </a:t>
          </a:r>
          <a:r>
            <a:rPr lang="en-GB" sz="1100" b="1" baseline="0">
              <a:solidFill>
                <a:srgbClr val="FF0000"/>
              </a:solidFill>
            </a:rPr>
            <a:t>coupled with a significant power cut at this time. </a:t>
          </a:r>
        </a:p>
        <a:p>
          <a:r>
            <a:rPr lang="en-GB" sz="1100" b="1" baseline="0">
              <a:solidFill>
                <a:schemeClr val="accent1"/>
              </a:solidFill>
            </a:rPr>
            <a:t>When the fault is remedied and the heat pump systems come back online there is consequently no diversity as everyone on the feeder is attempting to warm their houses at an increased rate at the same time. This puts an additional load above the "standard" design which needs to be catered for if no mitigating technologies are available. Although an extremely unlikely occurrence the knock on effects are severe for the network if not considered. </a:t>
          </a:r>
        </a:p>
      </xdr:txBody>
    </xdr:sp>
    <xdr:clientData/>
  </xdr:twoCellAnchor>
  <xdr:twoCellAnchor editAs="oneCell">
    <xdr:from>
      <xdr:col>0</xdr:col>
      <xdr:colOff>0</xdr:colOff>
      <xdr:row>15</xdr:row>
      <xdr:rowOff>38101</xdr:rowOff>
    </xdr:from>
    <xdr:to>
      <xdr:col>16</xdr:col>
      <xdr:colOff>180975</xdr:colOff>
      <xdr:row>29</xdr:row>
      <xdr:rowOff>133351</xdr:rowOff>
    </xdr:to>
    <xdr:pic>
      <xdr:nvPicPr>
        <xdr:cNvPr id="12" name="Picture 11">
          <a:extLst>
            <a:ext uri="{FF2B5EF4-FFF2-40B4-BE49-F238E27FC236}">
              <a16:creationId xmlns:a16="http://schemas.microsoft.com/office/drawing/2014/main" id="{A17A0E92-5608-4605-8683-1C8A996B4FD3}"/>
            </a:ext>
          </a:extLst>
        </xdr:cNvPr>
        <xdr:cNvPicPr>
          <a:picLocks noChangeAspect="1"/>
        </xdr:cNvPicPr>
      </xdr:nvPicPr>
      <xdr:blipFill>
        <a:blip xmlns:r="http://schemas.openxmlformats.org/officeDocument/2006/relationships" r:embed="rId1"/>
        <a:stretch>
          <a:fillRect/>
        </a:stretch>
      </xdr:blipFill>
      <xdr:spPr>
        <a:xfrm>
          <a:off x="0" y="2895601"/>
          <a:ext cx="9934575" cy="2762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247649</xdr:colOff>
      <xdr:row>26</xdr:row>
      <xdr:rowOff>180975</xdr:rowOff>
    </xdr:from>
    <xdr:to>
      <xdr:col>17</xdr:col>
      <xdr:colOff>326842</xdr:colOff>
      <xdr:row>50</xdr:row>
      <xdr:rowOff>73025</xdr:rowOff>
    </xdr:to>
    <xdr:pic>
      <xdr:nvPicPr>
        <xdr:cNvPr id="2" name="Picture 1">
          <a:extLst>
            <a:ext uri="{FF2B5EF4-FFF2-40B4-BE49-F238E27FC236}">
              <a16:creationId xmlns:a16="http://schemas.microsoft.com/office/drawing/2014/main" id="{2B9849F8-C336-4459-BA2C-3494CABBB88A}"/>
            </a:ext>
          </a:extLst>
        </xdr:cNvPr>
        <xdr:cNvPicPr>
          <a:picLocks noChangeAspect="1"/>
        </xdr:cNvPicPr>
      </xdr:nvPicPr>
      <xdr:blipFill>
        <a:blip xmlns:r="http://schemas.openxmlformats.org/officeDocument/2006/relationships" r:embed="rId1"/>
        <a:stretch>
          <a:fillRect/>
        </a:stretch>
      </xdr:blipFill>
      <xdr:spPr>
        <a:xfrm>
          <a:off x="5734049" y="5133975"/>
          <a:ext cx="4955993" cy="4457700"/>
        </a:xfrm>
        <a:prstGeom prst="rect">
          <a:avLst/>
        </a:prstGeom>
      </xdr:spPr>
    </xdr:pic>
    <xdr:clientData/>
  </xdr:twoCellAnchor>
  <xdr:twoCellAnchor editAs="oneCell">
    <xdr:from>
      <xdr:col>0</xdr:col>
      <xdr:colOff>266700</xdr:colOff>
      <xdr:row>26</xdr:row>
      <xdr:rowOff>171450</xdr:rowOff>
    </xdr:from>
    <xdr:to>
      <xdr:col>8</xdr:col>
      <xdr:colOff>608948</xdr:colOff>
      <xdr:row>50</xdr:row>
      <xdr:rowOff>91514</xdr:rowOff>
    </xdr:to>
    <xdr:pic>
      <xdr:nvPicPr>
        <xdr:cNvPr id="3" name="Picture 2">
          <a:extLst>
            <a:ext uri="{FF2B5EF4-FFF2-40B4-BE49-F238E27FC236}">
              <a16:creationId xmlns:a16="http://schemas.microsoft.com/office/drawing/2014/main" id="{8400CF2B-99C9-4849-B900-1361A3721864}"/>
            </a:ext>
          </a:extLst>
        </xdr:cNvPr>
        <xdr:cNvPicPr>
          <a:picLocks noChangeAspect="1"/>
        </xdr:cNvPicPr>
      </xdr:nvPicPr>
      <xdr:blipFill>
        <a:blip xmlns:r="http://schemas.openxmlformats.org/officeDocument/2006/relationships" r:embed="rId2"/>
        <a:stretch>
          <a:fillRect/>
        </a:stretch>
      </xdr:blipFill>
      <xdr:spPr>
        <a:xfrm>
          <a:off x="266700" y="5124450"/>
          <a:ext cx="5219048" cy="4485714"/>
        </a:xfrm>
        <a:prstGeom prst="rect">
          <a:avLst/>
        </a:prstGeom>
      </xdr:spPr>
    </xdr:pic>
    <xdr:clientData/>
  </xdr:twoCellAnchor>
  <xdr:twoCellAnchor editAs="oneCell">
    <xdr:from>
      <xdr:col>0</xdr:col>
      <xdr:colOff>352425</xdr:colOff>
      <xdr:row>0</xdr:row>
      <xdr:rowOff>180975</xdr:rowOff>
    </xdr:from>
    <xdr:to>
      <xdr:col>8</xdr:col>
      <xdr:colOff>548642</xdr:colOff>
      <xdr:row>25</xdr:row>
      <xdr:rowOff>154983</xdr:rowOff>
    </xdr:to>
    <xdr:pic>
      <xdr:nvPicPr>
        <xdr:cNvPr id="4" name="Picture 3">
          <a:extLst>
            <a:ext uri="{FF2B5EF4-FFF2-40B4-BE49-F238E27FC236}">
              <a16:creationId xmlns:a16="http://schemas.microsoft.com/office/drawing/2014/main" id="{3A03C6B8-D2E2-42C0-B19B-34E855840437}"/>
            </a:ext>
          </a:extLst>
        </xdr:cNvPr>
        <xdr:cNvPicPr>
          <a:picLocks noChangeAspect="1"/>
        </xdr:cNvPicPr>
      </xdr:nvPicPr>
      <xdr:blipFill>
        <a:blip xmlns:r="http://schemas.openxmlformats.org/officeDocument/2006/relationships" r:embed="rId3"/>
        <a:stretch>
          <a:fillRect/>
        </a:stretch>
      </xdr:blipFill>
      <xdr:spPr>
        <a:xfrm>
          <a:off x="352425" y="180975"/>
          <a:ext cx="5066667" cy="4733333"/>
        </a:xfrm>
        <a:prstGeom prst="rect">
          <a:avLst/>
        </a:prstGeom>
      </xdr:spPr>
    </xdr:pic>
    <xdr:clientData/>
  </xdr:twoCellAnchor>
  <xdr:twoCellAnchor editAs="oneCell">
    <xdr:from>
      <xdr:col>9</xdr:col>
      <xdr:colOff>200025</xdr:colOff>
      <xdr:row>1</xdr:row>
      <xdr:rowOff>9525</xdr:rowOff>
    </xdr:from>
    <xdr:to>
      <xdr:col>18</xdr:col>
      <xdr:colOff>187684</xdr:colOff>
      <xdr:row>25</xdr:row>
      <xdr:rowOff>130175</xdr:rowOff>
    </xdr:to>
    <xdr:pic>
      <xdr:nvPicPr>
        <xdr:cNvPr id="5" name="Picture 4">
          <a:extLst>
            <a:ext uri="{FF2B5EF4-FFF2-40B4-BE49-F238E27FC236}">
              <a16:creationId xmlns:a16="http://schemas.microsoft.com/office/drawing/2014/main" id="{C40C8553-9019-415B-BDD3-564573D0DD03}"/>
            </a:ext>
          </a:extLst>
        </xdr:cNvPr>
        <xdr:cNvPicPr>
          <a:picLocks noChangeAspect="1"/>
        </xdr:cNvPicPr>
      </xdr:nvPicPr>
      <xdr:blipFill>
        <a:blip xmlns:r="http://schemas.openxmlformats.org/officeDocument/2006/relationships" r:embed="rId4"/>
        <a:stretch>
          <a:fillRect/>
        </a:stretch>
      </xdr:blipFill>
      <xdr:spPr>
        <a:xfrm>
          <a:off x="5686425" y="200025"/>
          <a:ext cx="5470884" cy="4686300"/>
        </a:xfrm>
        <a:prstGeom prst="rect">
          <a:avLst/>
        </a:prstGeom>
      </xdr:spPr>
    </xdr:pic>
    <xdr:clientData/>
  </xdr:twoCellAnchor>
  <xdr:twoCellAnchor editAs="oneCell">
    <xdr:from>
      <xdr:col>19</xdr:col>
      <xdr:colOff>171450</xdr:colOff>
      <xdr:row>0</xdr:row>
      <xdr:rowOff>133350</xdr:rowOff>
    </xdr:from>
    <xdr:to>
      <xdr:col>27</xdr:col>
      <xdr:colOff>266045</xdr:colOff>
      <xdr:row>24</xdr:row>
      <xdr:rowOff>151826</xdr:rowOff>
    </xdr:to>
    <xdr:pic>
      <xdr:nvPicPr>
        <xdr:cNvPr id="6" name="Picture 5">
          <a:extLst>
            <a:ext uri="{FF2B5EF4-FFF2-40B4-BE49-F238E27FC236}">
              <a16:creationId xmlns:a16="http://schemas.microsoft.com/office/drawing/2014/main" id="{04EBC910-73F4-4E41-A1AB-6B87A7D97E10}"/>
            </a:ext>
          </a:extLst>
        </xdr:cNvPr>
        <xdr:cNvPicPr>
          <a:picLocks noChangeAspect="1"/>
        </xdr:cNvPicPr>
      </xdr:nvPicPr>
      <xdr:blipFill>
        <a:blip xmlns:r="http://schemas.openxmlformats.org/officeDocument/2006/relationships" r:embed="rId5"/>
        <a:stretch>
          <a:fillRect/>
        </a:stretch>
      </xdr:blipFill>
      <xdr:spPr>
        <a:xfrm>
          <a:off x="11753850" y="133350"/>
          <a:ext cx="5238095" cy="4590476"/>
        </a:xfrm>
        <a:prstGeom prst="rect">
          <a:avLst/>
        </a:prstGeom>
      </xdr:spPr>
    </xdr:pic>
    <xdr:clientData/>
  </xdr:twoCellAnchor>
  <xdr:twoCellAnchor>
    <xdr:from>
      <xdr:col>10</xdr:col>
      <xdr:colOff>438150</xdr:colOff>
      <xdr:row>17</xdr:row>
      <xdr:rowOff>114300</xdr:rowOff>
    </xdr:from>
    <xdr:to>
      <xdr:col>17</xdr:col>
      <xdr:colOff>447675</xdr:colOff>
      <xdr:row>17</xdr:row>
      <xdr:rowOff>114300</xdr:rowOff>
    </xdr:to>
    <xdr:cxnSp macro="">
      <xdr:nvCxnSpPr>
        <xdr:cNvPr id="7" name="Straight Connector 6">
          <a:extLst>
            <a:ext uri="{FF2B5EF4-FFF2-40B4-BE49-F238E27FC236}">
              <a16:creationId xmlns:a16="http://schemas.microsoft.com/office/drawing/2014/main" id="{4B05AF1C-B3F6-4093-A545-5A6AC9A8F53D}"/>
            </a:ext>
          </a:extLst>
        </xdr:cNvPr>
        <xdr:cNvCxnSpPr/>
      </xdr:nvCxnSpPr>
      <xdr:spPr>
        <a:xfrm>
          <a:off x="6534150" y="3352800"/>
          <a:ext cx="42767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361950</xdr:colOff>
      <xdr:row>12</xdr:row>
      <xdr:rowOff>0</xdr:rowOff>
    </xdr:from>
    <xdr:to>
      <xdr:col>26</xdr:col>
      <xdr:colOff>342900</xdr:colOff>
      <xdr:row>12</xdr:row>
      <xdr:rowOff>9525</xdr:rowOff>
    </xdr:to>
    <xdr:cxnSp macro="">
      <xdr:nvCxnSpPr>
        <xdr:cNvPr id="8" name="Straight Connector 7">
          <a:extLst>
            <a:ext uri="{FF2B5EF4-FFF2-40B4-BE49-F238E27FC236}">
              <a16:creationId xmlns:a16="http://schemas.microsoft.com/office/drawing/2014/main" id="{20B64203-CD1B-4ACD-951A-D75C280A5088}"/>
            </a:ext>
          </a:extLst>
        </xdr:cNvPr>
        <xdr:cNvCxnSpPr/>
      </xdr:nvCxnSpPr>
      <xdr:spPr>
        <a:xfrm>
          <a:off x="12553950" y="2286000"/>
          <a:ext cx="36385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428625</xdr:colOff>
      <xdr:row>6</xdr:row>
      <xdr:rowOff>47625</xdr:rowOff>
    </xdr:from>
    <xdr:to>
      <xdr:col>23</xdr:col>
      <xdr:colOff>438150</xdr:colOff>
      <xdr:row>17</xdr:row>
      <xdr:rowOff>66675</xdr:rowOff>
    </xdr:to>
    <xdr:cxnSp macro="">
      <xdr:nvCxnSpPr>
        <xdr:cNvPr id="9" name="Straight Connector 8">
          <a:extLst>
            <a:ext uri="{FF2B5EF4-FFF2-40B4-BE49-F238E27FC236}">
              <a16:creationId xmlns:a16="http://schemas.microsoft.com/office/drawing/2014/main" id="{FC2FB718-9469-4957-831C-778F089742AA}"/>
            </a:ext>
          </a:extLst>
        </xdr:cNvPr>
        <xdr:cNvCxnSpPr/>
      </xdr:nvCxnSpPr>
      <xdr:spPr>
        <a:xfrm flipH="1" flipV="1">
          <a:off x="14449425" y="1190625"/>
          <a:ext cx="9525" cy="2114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114300</xdr:colOff>
      <xdr:row>7</xdr:row>
      <xdr:rowOff>123825</xdr:rowOff>
    </xdr:from>
    <xdr:to>
      <xdr:col>5</xdr:col>
      <xdr:colOff>123825</xdr:colOff>
      <xdr:row>18</xdr:row>
      <xdr:rowOff>142875</xdr:rowOff>
    </xdr:to>
    <xdr:cxnSp macro="">
      <xdr:nvCxnSpPr>
        <xdr:cNvPr id="10" name="Straight Connector 9">
          <a:extLst>
            <a:ext uri="{FF2B5EF4-FFF2-40B4-BE49-F238E27FC236}">
              <a16:creationId xmlns:a16="http://schemas.microsoft.com/office/drawing/2014/main" id="{64B05921-9F1F-4ED4-8953-0FDB2D64935E}"/>
            </a:ext>
          </a:extLst>
        </xdr:cNvPr>
        <xdr:cNvCxnSpPr/>
      </xdr:nvCxnSpPr>
      <xdr:spPr>
        <a:xfrm flipH="1" flipV="1">
          <a:off x="3162300" y="1457325"/>
          <a:ext cx="9525" cy="2114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12</xdr:row>
      <xdr:rowOff>66675</xdr:rowOff>
    </xdr:from>
    <xdr:to>
      <xdr:col>7</xdr:col>
      <xdr:colOff>590550</xdr:colOff>
      <xdr:row>12</xdr:row>
      <xdr:rowOff>76200</xdr:rowOff>
    </xdr:to>
    <xdr:cxnSp macro="">
      <xdr:nvCxnSpPr>
        <xdr:cNvPr id="11" name="Straight Connector 10">
          <a:extLst>
            <a:ext uri="{FF2B5EF4-FFF2-40B4-BE49-F238E27FC236}">
              <a16:creationId xmlns:a16="http://schemas.microsoft.com/office/drawing/2014/main" id="{A5AFCDDA-7C35-4639-8F98-E3C500B6274B}"/>
            </a:ext>
          </a:extLst>
        </xdr:cNvPr>
        <xdr:cNvCxnSpPr/>
      </xdr:nvCxnSpPr>
      <xdr:spPr>
        <a:xfrm>
          <a:off x="1219200" y="2352675"/>
          <a:ext cx="36385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314325</xdr:colOff>
      <xdr:row>27</xdr:row>
      <xdr:rowOff>133350</xdr:rowOff>
    </xdr:from>
    <xdr:to>
      <xdr:col>27</xdr:col>
      <xdr:colOff>421390</xdr:colOff>
      <xdr:row>49</xdr:row>
      <xdr:rowOff>16274</xdr:rowOff>
    </xdr:to>
    <xdr:pic>
      <xdr:nvPicPr>
        <xdr:cNvPr id="12" name="Picture 11">
          <a:extLst>
            <a:ext uri="{FF2B5EF4-FFF2-40B4-BE49-F238E27FC236}">
              <a16:creationId xmlns:a16="http://schemas.microsoft.com/office/drawing/2014/main" id="{BD15CE61-7B81-48E9-9837-645EC5BF3AE7}"/>
            </a:ext>
          </a:extLst>
        </xdr:cNvPr>
        <xdr:cNvPicPr>
          <a:picLocks noChangeAspect="1"/>
        </xdr:cNvPicPr>
      </xdr:nvPicPr>
      <xdr:blipFill>
        <a:blip xmlns:r="http://schemas.openxmlformats.org/officeDocument/2006/relationships" r:embed="rId6"/>
        <a:stretch>
          <a:fillRect/>
        </a:stretch>
      </xdr:blipFill>
      <xdr:spPr>
        <a:xfrm>
          <a:off x="11287125" y="5276850"/>
          <a:ext cx="5856990" cy="4067574"/>
        </a:xfrm>
        <a:prstGeom prst="rect">
          <a:avLst/>
        </a:prstGeom>
      </xdr:spPr>
    </xdr:pic>
    <xdr:clientData/>
  </xdr:twoCellAnchor>
  <xdr:twoCellAnchor>
    <xdr:from>
      <xdr:col>1</xdr:col>
      <xdr:colOff>476250</xdr:colOff>
      <xdr:row>37</xdr:row>
      <xdr:rowOff>85725</xdr:rowOff>
    </xdr:from>
    <xdr:to>
      <xdr:col>7</xdr:col>
      <xdr:colOff>485775</xdr:colOff>
      <xdr:row>37</xdr:row>
      <xdr:rowOff>85725</xdr:rowOff>
    </xdr:to>
    <xdr:cxnSp macro="">
      <xdr:nvCxnSpPr>
        <xdr:cNvPr id="13" name="Straight Connector 12">
          <a:extLst>
            <a:ext uri="{FF2B5EF4-FFF2-40B4-BE49-F238E27FC236}">
              <a16:creationId xmlns:a16="http://schemas.microsoft.com/office/drawing/2014/main" id="{5172D10E-EEC3-4C30-B9B7-765E5D750A8A}"/>
            </a:ext>
          </a:extLst>
        </xdr:cNvPr>
        <xdr:cNvCxnSpPr/>
      </xdr:nvCxnSpPr>
      <xdr:spPr>
        <a:xfrm>
          <a:off x="1085850" y="7134225"/>
          <a:ext cx="3667125" cy="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0</xdr:col>
      <xdr:colOff>219075</xdr:colOff>
      <xdr:row>52</xdr:row>
      <xdr:rowOff>9525</xdr:rowOff>
    </xdr:from>
    <xdr:to>
      <xdr:col>10</xdr:col>
      <xdr:colOff>402440</xdr:colOff>
      <xdr:row>87</xdr:row>
      <xdr:rowOff>21390</xdr:rowOff>
    </xdr:to>
    <xdr:pic>
      <xdr:nvPicPr>
        <xdr:cNvPr id="14" name="Picture 13">
          <a:extLst>
            <a:ext uri="{FF2B5EF4-FFF2-40B4-BE49-F238E27FC236}">
              <a16:creationId xmlns:a16="http://schemas.microsoft.com/office/drawing/2014/main" id="{049EEF67-D80E-4878-99AA-3D14180E5D29}"/>
            </a:ext>
          </a:extLst>
        </xdr:cNvPr>
        <xdr:cNvPicPr>
          <a:picLocks noChangeAspect="1"/>
        </xdr:cNvPicPr>
      </xdr:nvPicPr>
      <xdr:blipFill>
        <a:blip xmlns:r="http://schemas.openxmlformats.org/officeDocument/2006/relationships" r:embed="rId7"/>
        <a:stretch>
          <a:fillRect/>
        </a:stretch>
      </xdr:blipFill>
      <xdr:spPr>
        <a:xfrm>
          <a:off x="219075" y="9915525"/>
          <a:ext cx="6276190" cy="6676190"/>
        </a:xfrm>
        <a:prstGeom prst="rect">
          <a:avLst/>
        </a:prstGeom>
      </xdr:spPr>
    </xdr:pic>
    <xdr:clientData/>
  </xdr:twoCellAnchor>
  <xdr:twoCellAnchor editAs="oneCell">
    <xdr:from>
      <xdr:col>12</xdr:col>
      <xdr:colOff>485775</xdr:colOff>
      <xdr:row>51</xdr:row>
      <xdr:rowOff>104775</xdr:rowOff>
    </xdr:from>
    <xdr:to>
      <xdr:col>20</xdr:col>
      <xdr:colOff>281992</xdr:colOff>
      <xdr:row>88</xdr:row>
      <xdr:rowOff>97545</xdr:rowOff>
    </xdr:to>
    <xdr:pic>
      <xdr:nvPicPr>
        <xdr:cNvPr id="15" name="Picture 14">
          <a:extLst>
            <a:ext uri="{FF2B5EF4-FFF2-40B4-BE49-F238E27FC236}">
              <a16:creationId xmlns:a16="http://schemas.microsoft.com/office/drawing/2014/main" id="{2AD419CC-151D-4E1C-B313-ED5C5812FDB9}"/>
            </a:ext>
          </a:extLst>
        </xdr:cNvPr>
        <xdr:cNvPicPr>
          <a:picLocks noChangeAspect="1"/>
        </xdr:cNvPicPr>
      </xdr:nvPicPr>
      <xdr:blipFill>
        <a:blip xmlns:r="http://schemas.openxmlformats.org/officeDocument/2006/relationships" r:embed="rId8"/>
        <a:stretch>
          <a:fillRect/>
        </a:stretch>
      </xdr:blipFill>
      <xdr:spPr>
        <a:xfrm>
          <a:off x="7800975" y="9820275"/>
          <a:ext cx="4666667" cy="7038095"/>
        </a:xfrm>
        <a:prstGeom prst="rect">
          <a:avLst/>
        </a:prstGeom>
      </xdr:spPr>
    </xdr:pic>
    <xdr:clientData/>
  </xdr:twoCellAnchor>
  <xdr:twoCellAnchor editAs="oneCell">
    <xdr:from>
      <xdr:col>21</xdr:col>
      <xdr:colOff>552450</xdr:colOff>
      <xdr:row>51</xdr:row>
      <xdr:rowOff>180975</xdr:rowOff>
    </xdr:from>
    <xdr:to>
      <xdr:col>28</xdr:col>
      <xdr:colOff>41275</xdr:colOff>
      <xdr:row>70</xdr:row>
      <xdr:rowOff>110117</xdr:rowOff>
    </xdr:to>
    <xdr:pic>
      <xdr:nvPicPr>
        <xdr:cNvPr id="16" name="Picture 15">
          <a:extLst>
            <a:ext uri="{FF2B5EF4-FFF2-40B4-BE49-F238E27FC236}">
              <a16:creationId xmlns:a16="http://schemas.microsoft.com/office/drawing/2014/main" id="{55C33BA8-4AFD-4DE4-B97C-F9CBF5CD643D}"/>
            </a:ext>
          </a:extLst>
        </xdr:cNvPr>
        <xdr:cNvPicPr>
          <a:picLocks noChangeAspect="1"/>
        </xdr:cNvPicPr>
      </xdr:nvPicPr>
      <xdr:blipFill>
        <a:blip xmlns:r="http://schemas.openxmlformats.org/officeDocument/2006/relationships" r:embed="rId9"/>
        <a:stretch>
          <a:fillRect/>
        </a:stretch>
      </xdr:blipFill>
      <xdr:spPr>
        <a:xfrm>
          <a:off x="13354050" y="9896475"/>
          <a:ext cx="4022725" cy="3542292"/>
        </a:xfrm>
        <a:prstGeom prst="rect">
          <a:avLst/>
        </a:prstGeom>
      </xdr:spPr>
    </xdr:pic>
    <xdr:clientData/>
  </xdr:twoCellAnchor>
  <xdr:twoCellAnchor editAs="oneCell">
    <xdr:from>
      <xdr:col>29</xdr:col>
      <xdr:colOff>41275</xdr:colOff>
      <xdr:row>43</xdr:row>
      <xdr:rowOff>104775</xdr:rowOff>
    </xdr:from>
    <xdr:to>
      <xdr:col>34</xdr:col>
      <xdr:colOff>536132</xdr:colOff>
      <xdr:row>64</xdr:row>
      <xdr:rowOff>104275</xdr:rowOff>
    </xdr:to>
    <xdr:pic>
      <xdr:nvPicPr>
        <xdr:cNvPr id="17" name="Picture 16">
          <a:extLst>
            <a:ext uri="{FF2B5EF4-FFF2-40B4-BE49-F238E27FC236}">
              <a16:creationId xmlns:a16="http://schemas.microsoft.com/office/drawing/2014/main" id="{7DAD51B7-D51F-41D2-AE0B-D8FE3CBADCDF}"/>
            </a:ext>
          </a:extLst>
        </xdr:cNvPr>
        <xdr:cNvPicPr>
          <a:picLocks noChangeAspect="1"/>
        </xdr:cNvPicPr>
      </xdr:nvPicPr>
      <xdr:blipFill>
        <a:blip xmlns:r="http://schemas.openxmlformats.org/officeDocument/2006/relationships" r:embed="rId10"/>
        <a:stretch>
          <a:fillRect/>
        </a:stretch>
      </xdr:blipFill>
      <xdr:spPr>
        <a:xfrm>
          <a:off x="17986375" y="8296275"/>
          <a:ext cx="3542857" cy="4000000"/>
        </a:xfrm>
        <a:prstGeom prst="rect">
          <a:avLst/>
        </a:prstGeom>
      </xdr:spPr>
    </xdr:pic>
    <xdr:clientData/>
  </xdr:twoCellAnchor>
  <xdr:twoCellAnchor editAs="oneCell">
    <xdr:from>
      <xdr:col>22</xdr:col>
      <xdr:colOff>250825</xdr:colOff>
      <xdr:row>72</xdr:row>
      <xdr:rowOff>111125</xdr:rowOff>
    </xdr:from>
    <xdr:to>
      <xdr:col>28</xdr:col>
      <xdr:colOff>336083</xdr:colOff>
      <xdr:row>87</xdr:row>
      <xdr:rowOff>72673</xdr:rowOff>
    </xdr:to>
    <xdr:pic>
      <xdr:nvPicPr>
        <xdr:cNvPr id="18" name="Picture 17">
          <a:extLst>
            <a:ext uri="{FF2B5EF4-FFF2-40B4-BE49-F238E27FC236}">
              <a16:creationId xmlns:a16="http://schemas.microsoft.com/office/drawing/2014/main" id="{19289DEF-9BDC-462B-B952-6372A9F863A2}"/>
            </a:ext>
          </a:extLst>
        </xdr:cNvPr>
        <xdr:cNvPicPr>
          <a:picLocks noChangeAspect="1"/>
        </xdr:cNvPicPr>
      </xdr:nvPicPr>
      <xdr:blipFill>
        <a:blip xmlns:r="http://schemas.openxmlformats.org/officeDocument/2006/relationships" r:embed="rId11"/>
        <a:stretch>
          <a:fillRect/>
        </a:stretch>
      </xdr:blipFill>
      <xdr:spPr>
        <a:xfrm>
          <a:off x="13928725" y="13827125"/>
          <a:ext cx="3739683" cy="2819048"/>
        </a:xfrm>
        <a:prstGeom prst="rect">
          <a:avLst/>
        </a:prstGeom>
      </xdr:spPr>
    </xdr:pic>
    <xdr:clientData/>
  </xdr:twoCellAnchor>
  <xdr:twoCellAnchor editAs="oneCell">
    <xdr:from>
      <xdr:col>28</xdr:col>
      <xdr:colOff>517525</xdr:colOff>
      <xdr:row>69</xdr:row>
      <xdr:rowOff>67876</xdr:rowOff>
    </xdr:from>
    <xdr:to>
      <xdr:col>34</xdr:col>
      <xdr:colOff>558800</xdr:colOff>
      <xdr:row>87</xdr:row>
      <xdr:rowOff>9127</xdr:rowOff>
    </xdr:to>
    <xdr:pic>
      <xdr:nvPicPr>
        <xdr:cNvPr id="19" name="Picture 18">
          <a:extLst>
            <a:ext uri="{FF2B5EF4-FFF2-40B4-BE49-F238E27FC236}">
              <a16:creationId xmlns:a16="http://schemas.microsoft.com/office/drawing/2014/main" id="{22CA502D-6FBB-4669-97C4-A10E29F46822}"/>
            </a:ext>
          </a:extLst>
        </xdr:cNvPr>
        <xdr:cNvPicPr>
          <a:picLocks noChangeAspect="1"/>
        </xdr:cNvPicPr>
      </xdr:nvPicPr>
      <xdr:blipFill>
        <a:blip xmlns:r="http://schemas.openxmlformats.org/officeDocument/2006/relationships" r:embed="rId12"/>
        <a:stretch>
          <a:fillRect/>
        </a:stretch>
      </xdr:blipFill>
      <xdr:spPr>
        <a:xfrm>
          <a:off x="17853025" y="13212376"/>
          <a:ext cx="3698875" cy="3370251"/>
        </a:xfrm>
        <a:prstGeom prst="rect">
          <a:avLst/>
        </a:prstGeom>
      </xdr:spPr>
    </xdr:pic>
    <xdr:clientData/>
  </xdr:twoCellAnchor>
  <xdr:twoCellAnchor editAs="oneCell">
    <xdr:from>
      <xdr:col>29</xdr:col>
      <xdr:colOff>107950</xdr:colOff>
      <xdr:row>66</xdr:row>
      <xdr:rowOff>6350</xdr:rowOff>
    </xdr:from>
    <xdr:to>
      <xdr:col>34</xdr:col>
      <xdr:colOff>488521</xdr:colOff>
      <xdr:row>68</xdr:row>
      <xdr:rowOff>63445</xdr:rowOff>
    </xdr:to>
    <xdr:pic>
      <xdr:nvPicPr>
        <xdr:cNvPr id="20" name="Picture 19">
          <a:extLst>
            <a:ext uri="{FF2B5EF4-FFF2-40B4-BE49-F238E27FC236}">
              <a16:creationId xmlns:a16="http://schemas.microsoft.com/office/drawing/2014/main" id="{FBB1A5E6-EDD0-4219-BC51-AB4478EFBCAF}"/>
            </a:ext>
          </a:extLst>
        </xdr:cNvPr>
        <xdr:cNvPicPr>
          <a:picLocks noChangeAspect="1"/>
        </xdr:cNvPicPr>
      </xdr:nvPicPr>
      <xdr:blipFill>
        <a:blip xmlns:r="http://schemas.openxmlformats.org/officeDocument/2006/relationships" r:embed="rId13"/>
        <a:stretch>
          <a:fillRect/>
        </a:stretch>
      </xdr:blipFill>
      <xdr:spPr>
        <a:xfrm>
          <a:off x="18053050" y="12579350"/>
          <a:ext cx="3428571" cy="4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171450</xdr:colOff>
      <xdr:row>31</xdr:row>
      <xdr:rowOff>88900</xdr:rowOff>
    </xdr:from>
    <xdr:to>
      <xdr:col>4</xdr:col>
      <xdr:colOff>1333500</xdr:colOff>
      <xdr:row>39</xdr:row>
      <xdr:rowOff>19050</xdr:rowOff>
    </xdr:to>
    <xdr:grpSp>
      <xdr:nvGrpSpPr>
        <xdr:cNvPr id="2" name="Group 1">
          <a:extLst>
            <a:ext uri="{FF2B5EF4-FFF2-40B4-BE49-F238E27FC236}">
              <a16:creationId xmlns:a16="http://schemas.microsoft.com/office/drawing/2014/main" id="{02716806-7BFF-41C9-B822-9BD86484A6D4}"/>
            </a:ext>
          </a:extLst>
        </xdr:cNvPr>
        <xdr:cNvGrpSpPr/>
      </xdr:nvGrpSpPr>
      <xdr:grpSpPr>
        <a:xfrm>
          <a:off x="1393825" y="6307138"/>
          <a:ext cx="3027363" cy="1450975"/>
          <a:chOff x="60683775" y="2828925"/>
          <a:chExt cx="2308426" cy="1122929"/>
        </a:xfrm>
      </xdr:grpSpPr>
      <xdr:pic>
        <xdr:nvPicPr>
          <xdr:cNvPr id="3" name="Picture 2">
            <a:extLst>
              <a:ext uri="{FF2B5EF4-FFF2-40B4-BE49-F238E27FC236}">
                <a16:creationId xmlns:a16="http://schemas.microsoft.com/office/drawing/2014/main" id="{6922FCD7-CA5D-487F-AA28-2FF8108EBCE3}"/>
              </a:ext>
            </a:extLst>
          </xdr:cNvPr>
          <xdr:cNvPicPr>
            <a:picLocks noChangeAspect="1"/>
          </xdr:cNvPicPr>
        </xdr:nvPicPr>
        <xdr:blipFill>
          <a:blip xmlns:r="http://schemas.openxmlformats.org/officeDocument/2006/relationships" r:embed="rId1"/>
          <a:stretch>
            <a:fillRect/>
          </a:stretch>
        </xdr:blipFill>
        <xdr:spPr>
          <a:xfrm>
            <a:off x="60683775" y="2828925"/>
            <a:ext cx="2308426" cy="1122929"/>
          </a:xfrm>
          <a:prstGeom prst="rect">
            <a:avLst/>
          </a:prstGeom>
        </xdr:spPr>
      </xdr:pic>
      <xdr:pic>
        <xdr:nvPicPr>
          <xdr:cNvPr id="4" name="Picture 3">
            <a:extLst>
              <a:ext uri="{FF2B5EF4-FFF2-40B4-BE49-F238E27FC236}">
                <a16:creationId xmlns:a16="http://schemas.microsoft.com/office/drawing/2014/main" id="{D0891E44-4C01-4777-BC61-2E99C848C1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editAs="oneCell">
    <xdr:from>
      <xdr:col>1</xdr:col>
      <xdr:colOff>333375</xdr:colOff>
      <xdr:row>12</xdr:row>
      <xdr:rowOff>66675</xdr:rowOff>
    </xdr:from>
    <xdr:to>
      <xdr:col>9</xdr:col>
      <xdr:colOff>871555</xdr:colOff>
      <xdr:row>22</xdr:row>
      <xdr:rowOff>187069</xdr:rowOff>
    </xdr:to>
    <xdr:pic>
      <xdr:nvPicPr>
        <xdr:cNvPr id="5" name="Picture 4">
          <a:extLst>
            <a:ext uri="{FF2B5EF4-FFF2-40B4-BE49-F238E27FC236}">
              <a16:creationId xmlns:a16="http://schemas.microsoft.com/office/drawing/2014/main" id="{7C8DB647-FBB8-4C7A-B305-4628467EB59B}"/>
            </a:ext>
          </a:extLst>
        </xdr:cNvPr>
        <xdr:cNvPicPr>
          <a:picLocks noChangeAspect="1"/>
        </xdr:cNvPicPr>
      </xdr:nvPicPr>
      <xdr:blipFill>
        <a:blip xmlns:r="http://schemas.openxmlformats.org/officeDocument/2006/relationships" r:embed="rId3"/>
        <a:stretch>
          <a:fillRect/>
        </a:stretch>
      </xdr:blipFill>
      <xdr:spPr>
        <a:xfrm>
          <a:off x="942975" y="2590800"/>
          <a:ext cx="12561905" cy="2047619"/>
        </a:xfrm>
        <a:prstGeom prst="rect">
          <a:avLst/>
        </a:prstGeom>
      </xdr:spPr>
    </xdr:pic>
    <xdr:clientData/>
  </xdr:twoCellAnchor>
  <xdr:twoCellAnchor editAs="oneCell">
    <xdr:from>
      <xdr:col>5</xdr:col>
      <xdr:colOff>485775</xdr:colOff>
      <xdr:row>23</xdr:row>
      <xdr:rowOff>123825</xdr:rowOff>
    </xdr:from>
    <xdr:to>
      <xdr:col>9</xdr:col>
      <xdr:colOff>531448</xdr:colOff>
      <xdr:row>50</xdr:row>
      <xdr:rowOff>186377</xdr:rowOff>
    </xdr:to>
    <xdr:pic>
      <xdr:nvPicPr>
        <xdr:cNvPr id="6" name="Picture 5">
          <a:extLst>
            <a:ext uri="{FF2B5EF4-FFF2-40B4-BE49-F238E27FC236}">
              <a16:creationId xmlns:a16="http://schemas.microsoft.com/office/drawing/2014/main" id="{165467CF-566A-441C-8CDD-C2ACD3037108}"/>
            </a:ext>
          </a:extLst>
        </xdr:cNvPr>
        <xdr:cNvPicPr>
          <a:picLocks noChangeAspect="1"/>
        </xdr:cNvPicPr>
      </xdr:nvPicPr>
      <xdr:blipFill>
        <a:blip xmlns:r="http://schemas.openxmlformats.org/officeDocument/2006/relationships" r:embed="rId4"/>
        <a:stretch>
          <a:fillRect/>
        </a:stretch>
      </xdr:blipFill>
      <xdr:spPr>
        <a:xfrm>
          <a:off x="5943600" y="4772025"/>
          <a:ext cx="7214823" cy="5202877"/>
        </a:xfrm>
        <a:prstGeom prst="rect">
          <a:avLst/>
        </a:prstGeom>
      </xdr:spPr>
    </xdr:pic>
    <xdr:clientData/>
  </xdr:twoCellAnchor>
  <xdr:twoCellAnchor>
    <xdr:from>
      <xdr:col>13</xdr:col>
      <xdr:colOff>304799</xdr:colOff>
      <xdr:row>41</xdr:row>
      <xdr:rowOff>152400</xdr:rowOff>
    </xdr:from>
    <xdr:to>
      <xdr:col>16</xdr:col>
      <xdr:colOff>771524</xdr:colOff>
      <xdr:row>54</xdr:row>
      <xdr:rowOff>133350</xdr:rowOff>
    </xdr:to>
    <xdr:graphicFrame macro="">
      <xdr:nvGraphicFramePr>
        <xdr:cNvPr id="7" name="Chart 6">
          <a:extLst>
            <a:ext uri="{FF2B5EF4-FFF2-40B4-BE49-F238E27FC236}">
              <a16:creationId xmlns:a16="http://schemas.microsoft.com/office/drawing/2014/main" id="{54CED9F6-7B39-4C18-9D3F-895EEA31D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400050</xdr:colOff>
      <xdr:row>6</xdr:row>
      <xdr:rowOff>66675</xdr:rowOff>
    </xdr:from>
    <xdr:to>
      <xdr:col>23</xdr:col>
      <xdr:colOff>238125</xdr:colOff>
      <xdr:row>6</xdr:row>
      <xdr:rowOff>76200</xdr:rowOff>
    </xdr:to>
    <xdr:cxnSp macro="">
      <xdr:nvCxnSpPr>
        <xdr:cNvPr id="8" name="Straight Connector 7">
          <a:extLst>
            <a:ext uri="{FF2B5EF4-FFF2-40B4-BE49-F238E27FC236}">
              <a16:creationId xmlns:a16="http://schemas.microsoft.com/office/drawing/2014/main" id="{689E470D-3846-40E2-92E5-6585BEB78B47}"/>
            </a:ext>
          </a:extLst>
        </xdr:cNvPr>
        <xdr:cNvCxnSpPr/>
      </xdr:nvCxnSpPr>
      <xdr:spPr>
        <a:xfrm flipV="1">
          <a:off x="15621000" y="1438275"/>
          <a:ext cx="902017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361950</xdr:colOff>
      <xdr:row>7</xdr:row>
      <xdr:rowOff>47625</xdr:rowOff>
    </xdr:from>
    <xdr:to>
      <xdr:col>13</xdr:col>
      <xdr:colOff>228600</xdr:colOff>
      <xdr:row>8</xdr:row>
      <xdr:rowOff>152400</xdr:rowOff>
    </xdr:to>
    <xdr:sp macro="" textlink="">
      <xdr:nvSpPr>
        <xdr:cNvPr id="9" name="TextBox 8">
          <a:extLst>
            <a:ext uri="{FF2B5EF4-FFF2-40B4-BE49-F238E27FC236}">
              <a16:creationId xmlns:a16="http://schemas.microsoft.com/office/drawing/2014/main" id="{6E737169-F8A7-45F8-8492-2186D729B7DE}"/>
            </a:ext>
          </a:extLst>
        </xdr:cNvPr>
        <xdr:cNvSpPr txBox="1"/>
      </xdr:nvSpPr>
      <xdr:spPr>
        <a:xfrm>
          <a:off x="15582900" y="1609725"/>
          <a:ext cx="12573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Power Cut </a:t>
          </a:r>
        </a:p>
      </xdr:txBody>
    </xdr:sp>
    <xdr:clientData/>
  </xdr:twoCellAnchor>
  <xdr:twoCellAnchor>
    <xdr:from>
      <xdr:col>13</xdr:col>
      <xdr:colOff>504825</xdr:colOff>
      <xdr:row>7</xdr:row>
      <xdr:rowOff>47626</xdr:rowOff>
    </xdr:from>
    <xdr:to>
      <xdr:col>15</xdr:col>
      <xdr:colOff>561975</xdr:colOff>
      <xdr:row>9</xdr:row>
      <xdr:rowOff>161926</xdr:rowOff>
    </xdr:to>
    <xdr:sp macro="" textlink="">
      <xdr:nvSpPr>
        <xdr:cNvPr id="10" name="TextBox 9">
          <a:extLst>
            <a:ext uri="{FF2B5EF4-FFF2-40B4-BE49-F238E27FC236}">
              <a16:creationId xmlns:a16="http://schemas.microsoft.com/office/drawing/2014/main" id="{6CE3868F-0225-447E-BE50-8D6075CF8B11}"/>
            </a:ext>
          </a:extLst>
        </xdr:cNvPr>
        <xdr:cNvSpPr txBox="1"/>
      </xdr:nvSpPr>
      <xdr:spPr>
        <a:xfrm>
          <a:off x="17116425" y="1609726"/>
          <a:ext cx="24384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Power Restored + Compressors Begin</a:t>
          </a:r>
        </a:p>
      </xdr:txBody>
    </xdr:sp>
    <xdr:clientData/>
  </xdr:twoCellAnchor>
  <xdr:twoCellAnchor>
    <xdr:from>
      <xdr:col>16</xdr:col>
      <xdr:colOff>171450</xdr:colOff>
      <xdr:row>7</xdr:row>
      <xdr:rowOff>38100</xdr:rowOff>
    </xdr:from>
    <xdr:to>
      <xdr:col>18</xdr:col>
      <xdr:colOff>161926</xdr:colOff>
      <xdr:row>9</xdr:row>
      <xdr:rowOff>104775</xdr:rowOff>
    </xdr:to>
    <xdr:sp macro="" textlink="">
      <xdr:nvSpPr>
        <xdr:cNvPr id="11" name="TextBox 10">
          <a:extLst>
            <a:ext uri="{FF2B5EF4-FFF2-40B4-BE49-F238E27FC236}">
              <a16:creationId xmlns:a16="http://schemas.microsoft.com/office/drawing/2014/main" id="{8E54B80B-8EE5-41B0-92A4-B896D647A816}"/>
            </a:ext>
          </a:extLst>
        </xdr:cNvPr>
        <xdr:cNvSpPr txBox="1"/>
      </xdr:nvSpPr>
      <xdr:spPr>
        <a:xfrm>
          <a:off x="19773900" y="1600200"/>
          <a:ext cx="1743076"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High</a:t>
          </a:r>
          <a:r>
            <a:rPr lang="en-GB" sz="1100" baseline="0"/>
            <a:t> Set Backups Begin</a:t>
          </a:r>
          <a:endParaRPr lang="en-GB" sz="1100"/>
        </a:p>
      </xdr:txBody>
    </xdr:sp>
    <xdr:clientData/>
  </xdr:twoCellAnchor>
  <xdr:twoCellAnchor>
    <xdr:from>
      <xdr:col>17</xdr:col>
      <xdr:colOff>95250</xdr:colOff>
      <xdr:row>10</xdr:row>
      <xdr:rowOff>0</xdr:rowOff>
    </xdr:from>
    <xdr:to>
      <xdr:col>19</xdr:col>
      <xdr:colOff>85726</xdr:colOff>
      <xdr:row>12</xdr:row>
      <xdr:rowOff>66675</xdr:rowOff>
    </xdr:to>
    <xdr:sp macro="" textlink="">
      <xdr:nvSpPr>
        <xdr:cNvPr id="12" name="TextBox 11">
          <a:extLst>
            <a:ext uri="{FF2B5EF4-FFF2-40B4-BE49-F238E27FC236}">
              <a16:creationId xmlns:a16="http://schemas.microsoft.com/office/drawing/2014/main" id="{181B1FB9-2CDB-4255-A8C7-23A9D365A36A}"/>
            </a:ext>
          </a:extLst>
        </xdr:cNvPr>
        <xdr:cNvSpPr txBox="1"/>
      </xdr:nvSpPr>
      <xdr:spPr>
        <a:xfrm>
          <a:off x="20840700" y="2133600"/>
          <a:ext cx="1209676"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Medium</a:t>
          </a:r>
          <a:r>
            <a:rPr lang="en-GB" sz="1100" baseline="0"/>
            <a:t> Set Backups Begin</a:t>
          </a:r>
          <a:endParaRPr lang="en-GB" sz="1100"/>
        </a:p>
      </xdr:txBody>
    </xdr:sp>
    <xdr:clientData/>
  </xdr:twoCellAnchor>
  <xdr:twoCellAnchor>
    <xdr:from>
      <xdr:col>19</xdr:col>
      <xdr:colOff>161925</xdr:colOff>
      <xdr:row>12</xdr:row>
      <xdr:rowOff>133350</xdr:rowOff>
    </xdr:from>
    <xdr:to>
      <xdr:col>21</xdr:col>
      <xdr:colOff>152401</xdr:colOff>
      <xdr:row>15</xdr:row>
      <xdr:rowOff>9525</xdr:rowOff>
    </xdr:to>
    <xdr:sp macro="" textlink="">
      <xdr:nvSpPr>
        <xdr:cNvPr id="13" name="TextBox 12">
          <a:extLst>
            <a:ext uri="{FF2B5EF4-FFF2-40B4-BE49-F238E27FC236}">
              <a16:creationId xmlns:a16="http://schemas.microsoft.com/office/drawing/2014/main" id="{ABB4FBDE-6CF0-4314-AF2B-9D09228D33B5}"/>
            </a:ext>
          </a:extLst>
        </xdr:cNvPr>
        <xdr:cNvSpPr txBox="1"/>
      </xdr:nvSpPr>
      <xdr:spPr>
        <a:xfrm>
          <a:off x="22126575" y="2657475"/>
          <a:ext cx="1209676"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Low</a:t>
          </a:r>
          <a:r>
            <a:rPr lang="en-GB" sz="1100" baseline="0"/>
            <a:t> Set Backups Begin</a:t>
          </a:r>
          <a:endParaRPr lang="en-GB" sz="1100"/>
        </a:p>
      </xdr:txBody>
    </xdr:sp>
    <xdr:clientData/>
  </xdr:twoCellAnchor>
  <xdr:twoCellAnchor>
    <xdr:from>
      <xdr:col>10</xdr:col>
      <xdr:colOff>304800</xdr:colOff>
      <xdr:row>0</xdr:row>
      <xdr:rowOff>0</xdr:rowOff>
    </xdr:from>
    <xdr:to>
      <xdr:col>13</xdr:col>
      <xdr:colOff>412150</xdr:colOff>
      <xdr:row>6</xdr:row>
      <xdr:rowOff>76614</xdr:rowOff>
    </xdr:to>
    <xdr:sp macro="" textlink="">
      <xdr:nvSpPr>
        <xdr:cNvPr id="14" name="Freeform: Shape 13">
          <a:extLst>
            <a:ext uri="{FF2B5EF4-FFF2-40B4-BE49-F238E27FC236}">
              <a16:creationId xmlns:a16="http://schemas.microsoft.com/office/drawing/2014/main" id="{FDDE243C-B820-47E0-B80B-3F44FA485435}"/>
            </a:ext>
          </a:extLst>
        </xdr:cNvPr>
        <xdr:cNvSpPr/>
      </xdr:nvSpPr>
      <xdr:spPr>
        <a:xfrm>
          <a:off x="14916150" y="0"/>
          <a:ext cx="2107600" cy="1448214"/>
        </a:xfrm>
        <a:custGeom>
          <a:avLst/>
          <a:gdLst>
            <a:gd name="connsiteX0" fmla="*/ 0 w 1936150"/>
            <a:gd name="connsiteY0" fmla="*/ 438150 h 1438689"/>
            <a:gd name="connsiteX1" fmla="*/ 495300 w 1936150"/>
            <a:gd name="connsiteY1" fmla="*/ 438150 h 1438689"/>
            <a:gd name="connsiteX2" fmla="*/ 523875 w 1936150"/>
            <a:gd name="connsiteY2" fmla="*/ 428625 h 1438689"/>
            <a:gd name="connsiteX3" fmla="*/ 561975 w 1936150"/>
            <a:gd name="connsiteY3" fmla="*/ 419100 h 1438689"/>
            <a:gd name="connsiteX4" fmla="*/ 552450 w 1936150"/>
            <a:gd name="connsiteY4" fmla="*/ 504825 h 1438689"/>
            <a:gd name="connsiteX5" fmla="*/ 571500 w 1936150"/>
            <a:gd name="connsiteY5" fmla="*/ 838200 h 1438689"/>
            <a:gd name="connsiteX6" fmla="*/ 590550 w 1936150"/>
            <a:gd name="connsiteY6" fmla="*/ 1419225 h 1438689"/>
            <a:gd name="connsiteX7" fmla="*/ 619125 w 1936150"/>
            <a:gd name="connsiteY7" fmla="*/ 1438275 h 1438689"/>
            <a:gd name="connsiteX8" fmla="*/ 704850 w 1936150"/>
            <a:gd name="connsiteY8" fmla="*/ 1428750 h 1438689"/>
            <a:gd name="connsiteX9" fmla="*/ 781050 w 1936150"/>
            <a:gd name="connsiteY9" fmla="*/ 1419225 h 1438689"/>
            <a:gd name="connsiteX10" fmla="*/ 809625 w 1936150"/>
            <a:gd name="connsiteY10" fmla="*/ 1390650 h 1438689"/>
            <a:gd name="connsiteX11" fmla="*/ 866775 w 1936150"/>
            <a:gd name="connsiteY11" fmla="*/ 1362075 h 1438689"/>
            <a:gd name="connsiteX12" fmla="*/ 1781175 w 1936150"/>
            <a:gd name="connsiteY12" fmla="*/ 1352550 h 1438689"/>
            <a:gd name="connsiteX13" fmla="*/ 1800225 w 1936150"/>
            <a:gd name="connsiteY13" fmla="*/ 1304925 h 1438689"/>
            <a:gd name="connsiteX14" fmla="*/ 1828800 w 1936150"/>
            <a:gd name="connsiteY14" fmla="*/ 1066800 h 1438689"/>
            <a:gd name="connsiteX15" fmla="*/ 1847850 w 1936150"/>
            <a:gd name="connsiteY15" fmla="*/ 1000125 h 1438689"/>
            <a:gd name="connsiteX16" fmla="*/ 1857375 w 1936150"/>
            <a:gd name="connsiteY16" fmla="*/ 942975 h 1438689"/>
            <a:gd name="connsiteX17" fmla="*/ 1885950 w 1936150"/>
            <a:gd name="connsiteY17" fmla="*/ 542925 h 1438689"/>
            <a:gd name="connsiteX18" fmla="*/ 1876425 w 1936150"/>
            <a:gd name="connsiteY18" fmla="*/ 409575 h 1438689"/>
            <a:gd name="connsiteX19" fmla="*/ 1895475 w 1936150"/>
            <a:gd name="connsiteY19" fmla="*/ 133350 h 1438689"/>
            <a:gd name="connsiteX20" fmla="*/ 1876425 w 1936150"/>
            <a:gd name="connsiteY20" fmla="*/ 57150 h 1438689"/>
            <a:gd name="connsiteX21" fmla="*/ 1885950 w 1936150"/>
            <a:gd name="connsiteY21" fmla="*/ 0 h 1438689"/>
            <a:gd name="connsiteX22" fmla="*/ 1905000 w 1936150"/>
            <a:gd name="connsiteY22" fmla="*/ 57150 h 1438689"/>
            <a:gd name="connsiteX23" fmla="*/ 1924050 w 1936150"/>
            <a:gd name="connsiteY23" fmla="*/ 342900 h 1438689"/>
            <a:gd name="connsiteX24" fmla="*/ 1933575 w 1936150"/>
            <a:gd name="connsiteY24" fmla="*/ 466725 h 14386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936150" h="1438689">
              <a:moveTo>
                <a:pt x="0" y="438150"/>
              </a:moveTo>
              <a:cubicBezTo>
                <a:pt x="237859" y="448492"/>
                <a:pt x="238362" y="454209"/>
                <a:pt x="495300" y="438150"/>
              </a:cubicBezTo>
              <a:cubicBezTo>
                <a:pt x="505321" y="437524"/>
                <a:pt x="514221" y="431383"/>
                <a:pt x="523875" y="428625"/>
              </a:cubicBezTo>
              <a:cubicBezTo>
                <a:pt x="536462" y="425029"/>
                <a:pt x="549275" y="422275"/>
                <a:pt x="561975" y="419100"/>
              </a:cubicBezTo>
              <a:cubicBezTo>
                <a:pt x="558800" y="447675"/>
                <a:pt x="552450" y="476074"/>
                <a:pt x="552450" y="504825"/>
              </a:cubicBezTo>
              <a:cubicBezTo>
                <a:pt x="552450" y="773396"/>
                <a:pt x="539413" y="709853"/>
                <a:pt x="571500" y="838200"/>
              </a:cubicBezTo>
              <a:cubicBezTo>
                <a:pt x="577850" y="1031875"/>
                <a:pt x="575219" y="1226053"/>
                <a:pt x="590550" y="1419225"/>
              </a:cubicBezTo>
              <a:cubicBezTo>
                <a:pt x="591456" y="1430637"/>
                <a:pt x="607717" y="1437324"/>
                <a:pt x="619125" y="1438275"/>
              </a:cubicBezTo>
              <a:cubicBezTo>
                <a:pt x="647777" y="1440663"/>
                <a:pt x="676296" y="1432109"/>
                <a:pt x="704850" y="1428750"/>
              </a:cubicBezTo>
              <a:lnTo>
                <a:pt x="781050" y="1419225"/>
              </a:lnTo>
              <a:cubicBezTo>
                <a:pt x="790575" y="1409700"/>
                <a:pt x="799277" y="1399274"/>
                <a:pt x="809625" y="1390650"/>
              </a:cubicBezTo>
              <a:cubicBezTo>
                <a:pt x="821670" y="1380613"/>
                <a:pt x="849165" y="1362431"/>
                <a:pt x="866775" y="1362075"/>
              </a:cubicBezTo>
              <a:lnTo>
                <a:pt x="1781175" y="1352550"/>
              </a:lnTo>
              <a:cubicBezTo>
                <a:pt x="1787525" y="1336675"/>
                <a:pt x="1794818" y="1321145"/>
                <a:pt x="1800225" y="1304925"/>
              </a:cubicBezTo>
              <a:cubicBezTo>
                <a:pt x="1822774" y="1237279"/>
                <a:pt x="1824986" y="1098582"/>
                <a:pt x="1828800" y="1066800"/>
              </a:cubicBezTo>
              <a:cubicBezTo>
                <a:pt x="1834212" y="1021703"/>
                <a:pt x="1839208" y="1039015"/>
                <a:pt x="1847850" y="1000125"/>
              </a:cubicBezTo>
              <a:cubicBezTo>
                <a:pt x="1852040" y="981272"/>
                <a:pt x="1855318" y="962178"/>
                <a:pt x="1857375" y="942975"/>
              </a:cubicBezTo>
              <a:cubicBezTo>
                <a:pt x="1878305" y="747626"/>
                <a:pt x="1876436" y="733205"/>
                <a:pt x="1885950" y="542925"/>
              </a:cubicBezTo>
              <a:cubicBezTo>
                <a:pt x="1882775" y="498475"/>
                <a:pt x="1876425" y="454138"/>
                <a:pt x="1876425" y="409575"/>
              </a:cubicBezTo>
              <a:cubicBezTo>
                <a:pt x="1876425" y="181625"/>
                <a:pt x="1861031" y="236683"/>
                <a:pt x="1895475" y="133350"/>
              </a:cubicBezTo>
              <a:cubicBezTo>
                <a:pt x="1889125" y="107950"/>
                <a:pt x="1878290" y="83265"/>
                <a:pt x="1876425" y="57150"/>
              </a:cubicBezTo>
              <a:cubicBezTo>
                <a:pt x="1875049" y="37886"/>
                <a:pt x="1866637" y="0"/>
                <a:pt x="1885950" y="0"/>
              </a:cubicBezTo>
              <a:cubicBezTo>
                <a:pt x="1906030" y="0"/>
                <a:pt x="1905000" y="57150"/>
                <a:pt x="1905000" y="57150"/>
              </a:cubicBezTo>
              <a:cubicBezTo>
                <a:pt x="1911350" y="152400"/>
                <a:pt x="1893862" y="252337"/>
                <a:pt x="1924050" y="342900"/>
              </a:cubicBezTo>
              <a:cubicBezTo>
                <a:pt x="1943615" y="401596"/>
                <a:pt x="1933575" y="361435"/>
                <a:pt x="1933575" y="46672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16</xdr:col>
      <xdr:colOff>166688</xdr:colOff>
      <xdr:row>0</xdr:row>
      <xdr:rowOff>0</xdr:rowOff>
    </xdr:from>
    <xdr:to>
      <xdr:col>16</xdr:col>
      <xdr:colOff>171450</xdr:colOff>
      <xdr:row>7</xdr:row>
      <xdr:rowOff>38100</xdr:rowOff>
    </xdr:to>
    <xdr:cxnSp macro="">
      <xdr:nvCxnSpPr>
        <xdr:cNvPr id="15" name="Straight Connector 14">
          <a:extLst>
            <a:ext uri="{FF2B5EF4-FFF2-40B4-BE49-F238E27FC236}">
              <a16:creationId xmlns:a16="http://schemas.microsoft.com/office/drawing/2014/main" id="{D41ADF08-D071-4A84-8429-5520F759683C}"/>
            </a:ext>
          </a:extLst>
        </xdr:cNvPr>
        <xdr:cNvCxnSpPr>
          <a:stCxn id="11" idx="0"/>
        </xdr:cNvCxnSpPr>
      </xdr:nvCxnSpPr>
      <xdr:spPr>
        <a:xfrm flipV="1">
          <a:off x="19769138" y="0"/>
          <a:ext cx="4762" cy="16002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90488</xdr:colOff>
      <xdr:row>0</xdr:row>
      <xdr:rowOff>0</xdr:rowOff>
    </xdr:from>
    <xdr:to>
      <xdr:col>18</xdr:col>
      <xdr:colOff>95250</xdr:colOff>
      <xdr:row>10</xdr:row>
      <xdr:rowOff>0</xdr:rowOff>
    </xdr:to>
    <xdr:cxnSp macro="">
      <xdr:nvCxnSpPr>
        <xdr:cNvPr id="16" name="Straight Connector 15">
          <a:extLst>
            <a:ext uri="{FF2B5EF4-FFF2-40B4-BE49-F238E27FC236}">
              <a16:creationId xmlns:a16="http://schemas.microsoft.com/office/drawing/2014/main" id="{C449293A-B4E5-45AF-B47F-359E5EAA8A34}"/>
            </a:ext>
          </a:extLst>
        </xdr:cNvPr>
        <xdr:cNvCxnSpPr>
          <a:stCxn id="12" idx="0"/>
        </xdr:cNvCxnSpPr>
      </xdr:nvCxnSpPr>
      <xdr:spPr>
        <a:xfrm flipV="1">
          <a:off x="21445538" y="0"/>
          <a:ext cx="4762" cy="21336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157163</xdr:colOff>
      <xdr:row>0</xdr:row>
      <xdr:rowOff>0</xdr:rowOff>
    </xdr:from>
    <xdr:to>
      <xdr:col>20</xdr:col>
      <xdr:colOff>171450</xdr:colOff>
      <xdr:row>12</xdr:row>
      <xdr:rowOff>133350</xdr:rowOff>
    </xdr:to>
    <xdr:cxnSp macro="">
      <xdr:nvCxnSpPr>
        <xdr:cNvPr id="17" name="Straight Connector 16">
          <a:extLst>
            <a:ext uri="{FF2B5EF4-FFF2-40B4-BE49-F238E27FC236}">
              <a16:creationId xmlns:a16="http://schemas.microsoft.com/office/drawing/2014/main" id="{87C75CD9-70E4-4E3F-9237-292B8FC764C9}"/>
            </a:ext>
          </a:extLst>
        </xdr:cNvPr>
        <xdr:cNvCxnSpPr>
          <a:stCxn id="13" idx="0"/>
        </xdr:cNvCxnSpPr>
      </xdr:nvCxnSpPr>
      <xdr:spPr>
        <a:xfrm flipV="1">
          <a:off x="22731413" y="0"/>
          <a:ext cx="14287" cy="26574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419100</xdr:colOff>
      <xdr:row>0</xdr:row>
      <xdr:rowOff>123825</xdr:rowOff>
    </xdr:from>
    <xdr:to>
      <xdr:col>22</xdr:col>
      <xdr:colOff>581025</xdr:colOff>
      <xdr:row>2</xdr:row>
      <xdr:rowOff>161925</xdr:rowOff>
    </xdr:to>
    <xdr:sp macro="" textlink="">
      <xdr:nvSpPr>
        <xdr:cNvPr id="18" name="Freeform: Shape 17">
          <a:extLst>
            <a:ext uri="{FF2B5EF4-FFF2-40B4-BE49-F238E27FC236}">
              <a16:creationId xmlns:a16="http://schemas.microsoft.com/office/drawing/2014/main" id="{049C7B69-4576-49FF-ADA1-56F51E2BB16E}"/>
            </a:ext>
          </a:extLst>
        </xdr:cNvPr>
        <xdr:cNvSpPr/>
      </xdr:nvSpPr>
      <xdr:spPr>
        <a:xfrm>
          <a:off x="17030700" y="123825"/>
          <a:ext cx="7343775" cy="428625"/>
        </a:xfrm>
        <a:custGeom>
          <a:avLst/>
          <a:gdLst>
            <a:gd name="connsiteX0" fmla="*/ 0 w 5648325"/>
            <a:gd name="connsiteY0" fmla="*/ 352425 h 419100"/>
            <a:gd name="connsiteX1" fmla="*/ 180975 w 5648325"/>
            <a:gd name="connsiteY1" fmla="*/ 342900 h 419100"/>
            <a:gd name="connsiteX2" fmla="*/ 209550 w 5648325"/>
            <a:gd name="connsiteY2" fmla="*/ 323850 h 419100"/>
            <a:gd name="connsiteX3" fmla="*/ 571500 w 5648325"/>
            <a:gd name="connsiteY3" fmla="*/ 333375 h 419100"/>
            <a:gd name="connsiteX4" fmla="*/ 1247775 w 5648325"/>
            <a:gd name="connsiteY4" fmla="*/ 333375 h 419100"/>
            <a:gd name="connsiteX5" fmla="*/ 1276350 w 5648325"/>
            <a:gd name="connsiteY5" fmla="*/ 323850 h 419100"/>
            <a:gd name="connsiteX6" fmla="*/ 1352550 w 5648325"/>
            <a:gd name="connsiteY6" fmla="*/ 304800 h 419100"/>
            <a:gd name="connsiteX7" fmla="*/ 1495425 w 5648325"/>
            <a:gd name="connsiteY7" fmla="*/ 314325 h 419100"/>
            <a:gd name="connsiteX8" fmla="*/ 1552575 w 5648325"/>
            <a:gd name="connsiteY8" fmla="*/ 333375 h 419100"/>
            <a:gd name="connsiteX9" fmla="*/ 1581150 w 5648325"/>
            <a:gd name="connsiteY9" fmla="*/ 342900 h 419100"/>
            <a:gd name="connsiteX10" fmla="*/ 1628775 w 5648325"/>
            <a:gd name="connsiteY10" fmla="*/ 285750 h 419100"/>
            <a:gd name="connsiteX11" fmla="*/ 1638300 w 5648325"/>
            <a:gd name="connsiteY11" fmla="*/ 257175 h 419100"/>
            <a:gd name="connsiteX12" fmla="*/ 1666875 w 5648325"/>
            <a:gd name="connsiteY12" fmla="*/ 238125 h 419100"/>
            <a:gd name="connsiteX13" fmla="*/ 1685925 w 5648325"/>
            <a:gd name="connsiteY13" fmla="*/ 209550 h 419100"/>
            <a:gd name="connsiteX14" fmla="*/ 1752600 w 5648325"/>
            <a:gd name="connsiteY14" fmla="*/ 180975 h 419100"/>
            <a:gd name="connsiteX15" fmla="*/ 2143125 w 5648325"/>
            <a:gd name="connsiteY15" fmla="*/ 190500 h 419100"/>
            <a:gd name="connsiteX16" fmla="*/ 2286000 w 5648325"/>
            <a:gd name="connsiteY16" fmla="*/ 209550 h 419100"/>
            <a:gd name="connsiteX17" fmla="*/ 2686050 w 5648325"/>
            <a:gd name="connsiteY17" fmla="*/ 209550 h 419100"/>
            <a:gd name="connsiteX18" fmla="*/ 2771775 w 5648325"/>
            <a:gd name="connsiteY18" fmla="*/ 161925 h 419100"/>
            <a:gd name="connsiteX19" fmla="*/ 2828925 w 5648325"/>
            <a:gd name="connsiteY19" fmla="*/ 133350 h 419100"/>
            <a:gd name="connsiteX20" fmla="*/ 2886075 w 5648325"/>
            <a:gd name="connsiteY20" fmla="*/ 104775 h 419100"/>
            <a:gd name="connsiteX21" fmla="*/ 3343275 w 5648325"/>
            <a:gd name="connsiteY21" fmla="*/ 114300 h 419100"/>
            <a:gd name="connsiteX22" fmla="*/ 3438525 w 5648325"/>
            <a:gd name="connsiteY22" fmla="*/ 133350 h 419100"/>
            <a:gd name="connsiteX23" fmla="*/ 3571875 w 5648325"/>
            <a:gd name="connsiteY23" fmla="*/ 152400 h 419100"/>
            <a:gd name="connsiteX24" fmla="*/ 3762375 w 5648325"/>
            <a:gd name="connsiteY24" fmla="*/ 161925 h 419100"/>
            <a:gd name="connsiteX25" fmla="*/ 4010025 w 5648325"/>
            <a:gd name="connsiteY25" fmla="*/ 152400 h 419100"/>
            <a:gd name="connsiteX26" fmla="*/ 4067175 w 5648325"/>
            <a:gd name="connsiteY26" fmla="*/ 114300 h 419100"/>
            <a:gd name="connsiteX27" fmla="*/ 4124325 w 5648325"/>
            <a:gd name="connsiteY27" fmla="*/ 85725 h 419100"/>
            <a:gd name="connsiteX28" fmla="*/ 4191000 w 5648325"/>
            <a:gd name="connsiteY28" fmla="*/ 9525 h 419100"/>
            <a:gd name="connsiteX29" fmla="*/ 4219575 w 5648325"/>
            <a:gd name="connsiteY29" fmla="*/ 0 h 419100"/>
            <a:gd name="connsiteX30" fmla="*/ 4438650 w 5648325"/>
            <a:gd name="connsiteY30" fmla="*/ 9525 h 419100"/>
            <a:gd name="connsiteX31" fmla="*/ 4667250 w 5648325"/>
            <a:gd name="connsiteY31" fmla="*/ 28575 h 419100"/>
            <a:gd name="connsiteX32" fmla="*/ 4733925 w 5648325"/>
            <a:gd name="connsiteY32" fmla="*/ 28575 h 419100"/>
            <a:gd name="connsiteX33" fmla="*/ 4829175 w 5648325"/>
            <a:gd name="connsiteY33" fmla="*/ 19050 h 419100"/>
            <a:gd name="connsiteX34" fmla="*/ 4962525 w 5648325"/>
            <a:gd name="connsiteY34" fmla="*/ 57150 h 419100"/>
            <a:gd name="connsiteX35" fmla="*/ 4981575 w 5648325"/>
            <a:gd name="connsiteY35" fmla="*/ 85725 h 419100"/>
            <a:gd name="connsiteX36" fmla="*/ 5000625 w 5648325"/>
            <a:gd name="connsiteY36" fmla="*/ 238125 h 419100"/>
            <a:gd name="connsiteX37" fmla="*/ 5019675 w 5648325"/>
            <a:gd name="connsiteY37" fmla="*/ 295275 h 419100"/>
            <a:gd name="connsiteX38" fmla="*/ 5086350 w 5648325"/>
            <a:gd name="connsiteY38" fmla="*/ 314325 h 419100"/>
            <a:gd name="connsiteX39" fmla="*/ 5124450 w 5648325"/>
            <a:gd name="connsiteY39" fmla="*/ 323850 h 419100"/>
            <a:gd name="connsiteX40" fmla="*/ 5153025 w 5648325"/>
            <a:gd name="connsiteY40" fmla="*/ 333375 h 419100"/>
            <a:gd name="connsiteX41" fmla="*/ 5267325 w 5648325"/>
            <a:gd name="connsiteY41" fmla="*/ 342900 h 419100"/>
            <a:gd name="connsiteX42" fmla="*/ 5334000 w 5648325"/>
            <a:gd name="connsiteY42" fmla="*/ 352425 h 419100"/>
            <a:gd name="connsiteX43" fmla="*/ 5362575 w 5648325"/>
            <a:gd name="connsiteY43" fmla="*/ 361950 h 419100"/>
            <a:gd name="connsiteX44" fmla="*/ 5476875 w 5648325"/>
            <a:gd name="connsiteY44" fmla="*/ 371475 h 419100"/>
            <a:gd name="connsiteX45" fmla="*/ 5505450 w 5648325"/>
            <a:gd name="connsiteY45" fmla="*/ 390525 h 419100"/>
            <a:gd name="connsiteX46" fmla="*/ 5562600 w 5648325"/>
            <a:gd name="connsiteY46" fmla="*/ 419100 h 419100"/>
            <a:gd name="connsiteX47" fmla="*/ 5619750 w 5648325"/>
            <a:gd name="connsiteY47" fmla="*/ 400050 h 419100"/>
            <a:gd name="connsiteX48" fmla="*/ 5648325 w 5648325"/>
            <a:gd name="connsiteY48" fmla="*/ 390525 h 419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5648325" h="419100">
              <a:moveTo>
                <a:pt x="0" y="352425"/>
              </a:moveTo>
              <a:cubicBezTo>
                <a:pt x="60325" y="349250"/>
                <a:pt x="121120" y="351062"/>
                <a:pt x="180975" y="342900"/>
              </a:cubicBezTo>
              <a:cubicBezTo>
                <a:pt x="192318" y="341353"/>
                <a:pt x="198106" y="324129"/>
                <a:pt x="209550" y="323850"/>
              </a:cubicBezTo>
              <a:lnTo>
                <a:pt x="571500" y="333375"/>
              </a:lnTo>
              <a:cubicBezTo>
                <a:pt x="827968" y="376120"/>
                <a:pt x="655012" y="350809"/>
                <a:pt x="1247775" y="333375"/>
              </a:cubicBezTo>
              <a:cubicBezTo>
                <a:pt x="1257811" y="333080"/>
                <a:pt x="1266610" y="326285"/>
                <a:pt x="1276350" y="323850"/>
              </a:cubicBezTo>
              <a:lnTo>
                <a:pt x="1352550" y="304800"/>
              </a:lnTo>
              <a:cubicBezTo>
                <a:pt x="1400175" y="307975"/>
                <a:pt x="1448174" y="307575"/>
                <a:pt x="1495425" y="314325"/>
              </a:cubicBezTo>
              <a:cubicBezTo>
                <a:pt x="1515304" y="317165"/>
                <a:pt x="1533525" y="327025"/>
                <a:pt x="1552575" y="333375"/>
              </a:cubicBezTo>
              <a:lnTo>
                <a:pt x="1581150" y="342900"/>
              </a:lnTo>
              <a:cubicBezTo>
                <a:pt x="1602216" y="321834"/>
                <a:pt x="1615514" y="312272"/>
                <a:pt x="1628775" y="285750"/>
              </a:cubicBezTo>
              <a:cubicBezTo>
                <a:pt x="1633265" y="276770"/>
                <a:pt x="1632028" y="265015"/>
                <a:pt x="1638300" y="257175"/>
              </a:cubicBezTo>
              <a:cubicBezTo>
                <a:pt x="1645451" y="248236"/>
                <a:pt x="1657350" y="244475"/>
                <a:pt x="1666875" y="238125"/>
              </a:cubicBezTo>
              <a:cubicBezTo>
                <a:pt x="1673225" y="228600"/>
                <a:pt x="1677830" y="217645"/>
                <a:pt x="1685925" y="209550"/>
              </a:cubicBezTo>
              <a:cubicBezTo>
                <a:pt x="1707851" y="187624"/>
                <a:pt x="1723453" y="188262"/>
                <a:pt x="1752600" y="180975"/>
              </a:cubicBezTo>
              <a:lnTo>
                <a:pt x="2143125" y="190500"/>
              </a:lnTo>
              <a:cubicBezTo>
                <a:pt x="2248256" y="194467"/>
                <a:pt x="2226190" y="189613"/>
                <a:pt x="2286000" y="209550"/>
              </a:cubicBezTo>
              <a:cubicBezTo>
                <a:pt x="2730738" y="186143"/>
                <a:pt x="2175793" y="209550"/>
                <a:pt x="2686050" y="209550"/>
              </a:cubicBezTo>
              <a:cubicBezTo>
                <a:pt x="2714775" y="209550"/>
                <a:pt x="2755458" y="167364"/>
                <a:pt x="2771775" y="161925"/>
              </a:cubicBezTo>
              <a:cubicBezTo>
                <a:pt x="2843599" y="137984"/>
                <a:pt x="2755067" y="170279"/>
                <a:pt x="2828925" y="133350"/>
              </a:cubicBezTo>
              <a:cubicBezTo>
                <a:pt x="2907795" y="93915"/>
                <a:pt x="2804183" y="159370"/>
                <a:pt x="2886075" y="104775"/>
              </a:cubicBezTo>
              <a:lnTo>
                <a:pt x="3343275" y="114300"/>
              </a:lnTo>
              <a:cubicBezTo>
                <a:pt x="3486513" y="119509"/>
                <a:pt x="3358856" y="119291"/>
                <a:pt x="3438525" y="133350"/>
              </a:cubicBezTo>
              <a:cubicBezTo>
                <a:pt x="3482743" y="141153"/>
                <a:pt x="3527147" y="148453"/>
                <a:pt x="3571875" y="152400"/>
              </a:cubicBezTo>
              <a:cubicBezTo>
                <a:pt x="3635208" y="157988"/>
                <a:pt x="3698875" y="158750"/>
                <a:pt x="3762375" y="161925"/>
              </a:cubicBezTo>
              <a:cubicBezTo>
                <a:pt x="3844925" y="158750"/>
                <a:pt x="3928404" y="165153"/>
                <a:pt x="4010025" y="152400"/>
              </a:cubicBezTo>
              <a:cubicBezTo>
                <a:pt x="4032646" y="148866"/>
                <a:pt x="4048125" y="127000"/>
                <a:pt x="4067175" y="114300"/>
              </a:cubicBezTo>
              <a:cubicBezTo>
                <a:pt x="4104104" y="89681"/>
                <a:pt x="4084890" y="98870"/>
                <a:pt x="4124325" y="85725"/>
              </a:cubicBezTo>
              <a:cubicBezTo>
                <a:pt x="4152900" y="42863"/>
                <a:pt x="4151313" y="29369"/>
                <a:pt x="4191000" y="9525"/>
              </a:cubicBezTo>
              <a:cubicBezTo>
                <a:pt x="4199980" y="5035"/>
                <a:pt x="4210050" y="3175"/>
                <a:pt x="4219575" y="0"/>
              </a:cubicBezTo>
              <a:lnTo>
                <a:pt x="4438650" y="9525"/>
              </a:lnTo>
              <a:cubicBezTo>
                <a:pt x="4501468" y="13015"/>
                <a:pt x="4602550" y="22693"/>
                <a:pt x="4667250" y="28575"/>
              </a:cubicBezTo>
              <a:cubicBezTo>
                <a:pt x="4716500" y="44992"/>
                <a:pt x="4675320" y="36947"/>
                <a:pt x="4733925" y="28575"/>
              </a:cubicBezTo>
              <a:cubicBezTo>
                <a:pt x="4765513" y="24062"/>
                <a:pt x="4797425" y="22225"/>
                <a:pt x="4829175" y="19050"/>
              </a:cubicBezTo>
              <a:cubicBezTo>
                <a:pt x="5011499" y="33075"/>
                <a:pt x="4928149" y="-11602"/>
                <a:pt x="4962525" y="57150"/>
              </a:cubicBezTo>
              <a:cubicBezTo>
                <a:pt x="4967645" y="67389"/>
                <a:pt x="4975225" y="76200"/>
                <a:pt x="4981575" y="85725"/>
              </a:cubicBezTo>
              <a:cubicBezTo>
                <a:pt x="4986106" y="135561"/>
                <a:pt x="4987205" y="188917"/>
                <a:pt x="5000625" y="238125"/>
              </a:cubicBezTo>
              <a:cubicBezTo>
                <a:pt x="5005909" y="257498"/>
                <a:pt x="5000194" y="290405"/>
                <a:pt x="5019675" y="295275"/>
              </a:cubicBezTo>
              <a:cubicBezTo>
                <a:pt x="5138782" y="325052"/>
                <a:pt x="4990697" y="286996"/>
                <a:pt x="5086350" y="314325"/>
              </a:cubicBezTo>
              <a:cubicBezTo>
                <a:pt x="5098937" y="317921"/>
                <a:pt x="5111863" y="320254"/>
                <a:pt x="5124450" y="323850"/>
              </a:cubicBezTo>
              <a:cubicBezTo>
                <a:pt x="5134104" y="326608"/>
                <a:pt x="5143073" y="332048"/>
                <a:pt x="5153025" y="333375"/>
              </a:cubicBezTo>
              <a:cubicBezTo>
                <a:pt x="5190922" y="338428"/>
                <a:pt x="5229303" y="338898"/>
                <a:pt x="5267325" y="342900"/>
              </a:cubicBezTo>
              <a:cubicBezTo>
                <a:pt x="5289652" y="345250"/>
                <a:pt x="5311775" y="349250"/>
                <a:pt x="5334000" y="352425"/>
              </a:cubicBezTo>
              <a:cubicBezTo>
                <a:pt x="5343525" y="355600"/>
                <a:pt x="5352623" y="360623"/>
                <a:pt x="5362575" y="361950"/>
              </a:cubicBezTo>
              <a:cubicBezTo>
                <a:pt x="5400472" y="367003"/>
                <a:pt x="5439385" y="363977"/>
                <a:pt x="5476875" y="371475"/>
              </a:cubicBezTo>
              <a:cubicBezTo>
                <a:pt x="5488100" y="373720"/>
                <a:pt x="5495211" y="385405"/>
                <a:pt x="5505450" y="390525"/>
              </a:cubicBezTo>
              <a:cubicBezTo>
                <a:pt x="5584320" y="429960"/>
                <a:pt x="5480708" y="364505"/>
                <a:pt x="5562600" y="419100"/>
              </a:cubicBezTo>
              <a:lnTo>
                <a:pt x="5619750" y="400050"/>
              </a:lnTo>
              <a:lnTo>
                <a:pt x="5648325" y="390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428625</xdr:colOff>
      <xdr:row>1</xdr:row>
      <xdr:rowOff>161623</xdr:rowOff>
    </xdr:from>
    <xdr:to>
      <xdr:col>22</xdr:col>
      <xdr:colOff>590550</xdr:colOff>
      <xdr:row>2</xdr:row>
      <xdr:rowOff>172070</xdr:rowOff>
    </xdr:to>
    <xdr:sp macro="" textlink="">
      <xdr:nvSpPr>
        <xdr:cNvPr id="19" name="Freeform: Shape 18">
          <a:extLst>
            <a:ext uri="{FF2B5EF4-FFF2-40B4-BE49-F238E27FC236}">
              <a16:creationId xmlns:a16="http://schemas.microsoft.com/office/drawing/2014/main" id="{3CDA74EC-AD60-41F5-BC49-F5ADA109F120}"/>
            </a:ext>
          </a:extLst>
        </xdr:cNvPr>
        <xdr:cNvSpPr/>
      </xdr:nvSpPr>
      <xdr:spPr>
        <a:xfrm>
          <a:off x="17040225" y="352123"/>
          <a:ext cx="7343775" cy="210472"/>
        </a:xfrm>
        <a:custGeom>
          <a:avLst/>
          <a:gdLst>
            <a:gd name="connsiteX0" fmla="*/ 0 w 5648325"/>
            <a:gd name="connsiteY0" fmla="*/ 171752 h 200947"/>
            <a:gd name="connsiteX1" fmla="*/ 66675 w 5648325"/>
            <a:gd name="connsiteY1" fmla="*/ 181277 h 200947"/>
            <a:gd name="connsiteX2" fmla="*/ 114300 w 5648325"/>
            <a:gd name="connsiteY2" fmla="*/ 190802 h 200947"/>
            <a:gd name="connsiteX3" fmla="*/ 276225 w 5648325"/>
            <a:gd name="connsiteY3" fmla="*/ 181277 h 200947"/>
            <a:gd name="connsiteX4" fmla="*/ 304800 w 5648325"/>
            <a:gd name="connsiteY4" fmla="*/ 162227 h 200947"/>
            <a:gd name="connsiteX5" fmla="*/ 371475 w 5648325"/>
            <a:gd name="connsiteY5" fmla="*/ 143177 h 200947"/>
            <a:gd name="connsiteX6" fmla="*/ 581025 w 5648325"/>
            <a:gd name="connsiteY6" fmla="*/ 133652 h 200947"/>
            <a:gd name="connsiteX7" fmla="*/ 704850 w 5648325"/>
            <a:gd name="connsiteY7" fmla="*/ 143177 h 200947"/>
            <a:gd name="connsiteX8" fmla="*/ 771525 w 5648325"/>
            <a:gd name="connsiteY8" fmla="*/ 152702 h 200947"/>
            <a:gd name="connsiteX9" fmla="*/ 1314450 w 5648325"/>
            <a:gd name="connsiteY9" fmla="*/ 171752 h 200947"/>
            <a:gd name="connsiteX10" fmla="*/ 1581150 w 5648325"/>
            <a:gd name="connsiteY10" fmla="*/ 171752 h 200947"/>
            <a:gd name="connsiteX11" fmla="*/ 1619250 w 5648325"/>
            <a:gd name="connsiteY11" fmla="*/ 114602 h 200947"/>
            <a:gd name="connsiteX12" fmla="*/ 1638300 w 5648325"/>
            <a:gd name="connsiteY12" fmla="*/ 86027 h 200947"/>
            <a:gd name="connsiteX13" fmla="*/ 1695450 w 5648325"/>
            <a:gd name="connsiteY13" fmla="*/ 66977 h 200947"/>
            <a:gd name="connsiteX14" fmla="*/ 1714500 w 5648325"/>
            <a:gd name="connsiteY14" fmla="*/ 38402 h 200947"/>
            <a:gd name="connsiteX15" fmla="*/ 1771650 w 5648325"/>
            <a:gd name="connsiteY15" fmla="*/ 19352 h 200947"/>
            <a:gd name="connsiteX16" fmla="*/ 2047875 w 5648325"/>
            <a:gd name="connsiteY16" fmla="*/ 302 h 200947"/>
            <a:gd name="connsiteX17" fmla="*/ 2171700 w 5648325"/>
            <a:gd name="connsiteY17" fmla="*/ 28877 h 200947"/>
            <a:gd name="connsiteX18" fmla="*/ 2190750 w 5648325"/>
            <a:gd name="connsiteY18" fmla="*/ 86027 h 200947"/>
            <a:gd name="connsiteX19" fmla="*/ 2209800 w 5648325"/>
            <a:gd name="connsiteY19" fmla="*/ 162227 h 200947"/>
            <a:gd name="connsiteX20" fmla="*/ 2343150 w 5648325"/>
            <a:gd name="connsiteY20" fmla="*/ 181277 h 200947"/>
            <a:gd name="connsiteX21" fmla="*/ 2543175 w 5648325"/>
            <a:gd name="connsiteY21" fmla="*/ 190802 h 200947"/>
            <a:gd name="connsiteX22" fmla="*/ 2647950 w 5648325"/>
            <a:gd name="connsiteY22" fmla="*/ 181277 h 200947"/>
            <a:gd name="connsiteX23" fmla="*/ 2733675 w 5648325"/>
            <a:gd name="connsiteY23" fmla="*/ 171752 h 200947"/>
            <a:gd name="connsiteX24" fmla="*/ 2743200 w 5648325"/>
            <a:gd name="connsiteY24" fmla="*/ 143177 h 200947"/>
            <a:gd name="connsiteX25" fmla="*/ 2752725 w 5648325"/>
            <a:gd name="connsiteY25" fmla="*/ 95552 h 200947"/>
            <a:gd name="connsiteX26" fmla="*/ 2762250 w 5648325"/>
            <a:gd name="connsiteY26" fmla="*/ 66977 h 200947"/>
            <a:gd name="connsiteX27" fmla="*/ 2800350 w 5648325"/>
            <a:gd name="connsiteY27" fmla="*/ 57452 h 200947"/>
            <a:gd name="connsiteX28" fmla="*/ 2857500 w 5648325"/>
            <a:gd name="connsiteY28" fmla="*/ 47927 h 200947"/>
            <a:gd name="connsiteX29" fmla="*/ 3343275 w 5648325"/>
            <a:gd name="connsiteY29" fmla="*/ 57452 h 200947"/>
            <a:gd name="connsiteX30" fmla="*/ 3371850 w 5648325"/>
            <a:gd name="connsiteY30" fmla="*/ 124127 h 200947"/>
            <a:gd name="connsiteX31" fmla="*/ 3400425 w 5648325"/>
            <a:gd name="connsiteY31" fmla="*/ 143177 h 200947"/>
            <a:gd name="connsiteX32" fmla="*/ 3419475 w 5648325"/>
            <a:gd name="connsiteY32" fmla="*/ 171752 h 200947"/>
            <a:gd name="connsiteX33" fmla="*/ 3486150 w 5648325"/>
            <a:gd name="connsiteY33" fmla="*/ 171752 h 200947"/>
            <a:gd name="connsiteX34" fmla="*/ 3543300 w 5648325"/>
            <a:gd name="connsiteY34" fmla="*/ 152702 h 200947"/>
            <a:gd name="connsiteX35" fmla="*/ 3571875 w 5648325"/>
            <a:gd name="connsiteY35" fmla="*/ 143177 h 200947"/>
            <a:gd name="connsiteX36" fmla="*/ 3638550 w 5648325"/>
            <a:gd name="connsiteY36" fmla="*/ 152702 h 200947"/>
            <a:gd name="connsiteX37" fmla="*/ 4076700 w 5648325"/>
            <a:gd name="connsiteY37" fmla="*/ 133652 h 200947"/>
            <a:gd name="connsiteX38" fmla="*/ 4086225 w 5648325"/>
            <a:gd name="connsiteY38" fmla="*/ 95552 h 200947"/>
            <a:gd name="connsiteX39" fmla="*/ 4181475 w 5648325"/>
            <a:gd name="connsiteY39" fmla="*/ 57452 h 200947"/>
            <a:gd name="connsiteX40" fmla="*/ 4857750 w 5648325"/>
            <a:gd name="connsiteY40" fmla="*/ 47927 h 200947"/>
            <a:gd name="connsiteX41" fmla="*/ 5010150 w 5648325"/>
            <a:gd name="connsiteY41" fmla="*/ 47927 h 200947"/>
            <a:gd name="connsiteX42" fmla="*/ 5019675 w 5648325"/>
            <a:gd name="connsiteY42" fmla="*/ 76502 h 200947"/>
            <a:gd name="connsiteX43" fmla="*/ 5067300 w 5648325"/>
            <a:gd name="connsiteY43" fmla="*/ 124127 h 200947"/>
            <a:gd name="connsiteX44" fmla="*/ 5114925 w 5648325"/>
            <a:gd name="connsiteY44" fmla="*/ 162227 h 200947"/>
            <a:gd name="connsiteX45" fmla="*/ 5143500 w 5648325"/>
            <a:gd name="connsiteY45" fmla="*/ 181277 h 200947"/>
            <a:gd name="connsiteX46" fmla="*/ 5172075 w 5648325"/>
            <a:gd name="connsiteY46" fmla="*/ 190802 h 200947"/>
            <a:gd name="connsiteX47" fmla="*/ 5438775 w 5648325"/>
            <a:gd name="connsiteY47" fmla="*/ 200327 h 200947"/>
            <a:gd name="connsiteX48" fmla="*/ 5648325 w 5648325"/>
            <a:gd name="connsiteY48" fmla="*/ 200327 h 2009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5648325" h="200947">
              <a:moveTo>
                <a:pt x="0" y="171752"/>
              </a:moveTo>
              <a:cubicBezTo>
                <a:pt x="22225" y="174927"/>
                <a:pt x="44530" y="177586"/>
                <a:pt x="66675" y="181277"/>
              </a:cubicBezTo>
              <a:cubicBezTo>
                <a:pt x="82644" y="183939"/>
                <a:pt x="98111" y="190802"/>
                <a:pt x="114300" y="190802"/>
              </a:cubicBezTo>
              <a:cubicBezTo>
                <a:pt x="168368" y="190802"/>
                <a:pt x="222250" y="184452"/>
                <a:pt x="276225" y="181277"/>
              </a:cubicBezTo>
              <a:cubicBezTo>
                <a:pt x="285750" y="174927"/>
                <a:pt x="294561" y="167347"/>
                <a:pt x="304800" y="162227"/>
              </a:cubicBezTo>
              <a:cubicBezTo>
                <a:pt x="318465" y="155395"/>
                <a:pt x="359268" y="146229"/>
                <a:pt x="371475" y="143177"/>
              </a:cubicBezTo>
              <a:cubicBezTo>
                <a:pt x="449819" y="90947"/>
                <a:pt x="391222" y="121789"/>
                <a:pt x="581025" y="133652"/>
              </a:cubicBezTo>
              <a:cubicBezTo>
                <a:pt x="622341" y="136234"/>
                <a:pt x="663659" y="139058"/>
                <a:pt x="704850" y="143177"/>
              </a:cubicBezTo>
              <a:cubicBezTo>
                <a:pt x="727189" y="145411"/>
                <a:pt x="749118" y="151302"/>
                <a:pt x="771525" y="152702"/>
              </a:cubicBezTo>
              <a:cubicBezTo>
                <a:pt x="866639" y="158647"/>
                <a:pt x="1243214" y="169526"/>
                <a:pt x="1314450" y="171752"/>
              </a:cubicBezTo>
              <a:cubicBezTo>
                <a:pt x="1409254" y="195453"/>
                <a:pt x="1440170" y="206997"/>
                <a:pt x="1581150" y="171752"/>
              </a:cubicBezTo>
              <a:cubicBezTo>
                <a:pt x="1603362" y="166199"/>
                <a:pt x="1606550" y="133652"/>
                <a:pt x="1619250" y="114602"/>
              </a:cubicBezTo>
              <a:cubicBezTo>
                <a:pt x="1625600" y="105077"/>
                <a:pt x="1627440" y="89647"/>
                <a:pt x="1638300" y="86027"/>
              </a:cubicBezTo>
              <a:lnTo>
                <a:pt x="1695450" y="66977"/>
              </a:lnTo>
              <a:cubicBezTo>
                <a:pt x="1701800" y="57452"/>
                <a:pt x="1704792" y="44469"/>
                <a:pt x="1714500" y="38402"/>
              </a:cubicBezTo>
              <a:cubicBezTo>
                <a:pt x="1731528" y="27759"/>
                <a:pt x="1752600" y="25702"/>
                <a:pt x="1771650" y="19352"/>
              </a:cubicBezTo>
              <a:cubicBezTo>
                <a:pt x="1878597" y="-16297"/>
                <a:pt x="1790192" y="10213"/>
                <a:pt x="2047875" y="302"/>
              </a:cubicBezTo>
              <a:cubicBezTo>
                <a:pt x="2058911" y="1406"/>
                <a:pt x="2150875" y="-4443"/>
                <a:pt x="2171700" y="28877"/>
              </a:cubicBezTo>
              <a:cubicBezTo>
                <a:pt x="2182343" y="45905"/>
                <a:pt x="2185880" y="66546"/>
                <a:pt x="2190750" y="86027"/>
              </a:cubicBezTo>
              <a:cubicBezTo>
                <a:pt x="2197100" y="111427"/>
                <a:pt x="2184962" y="153948"/>
                <a:pt x="2209800" y="162227"/>
              </a:cubicBezTo>
              <a:cubicBezTo>
                <a:pt x="2268198" y="181693"/>
                <a:pt x="2240415" y="174856"/>
                <a:pt x="2343150" y="181277"/>
              </a:cubicBezTo>
              <a:cubicBezTo>
                <a:pt x="2409771" y="185441"/>
                <a:pt x="2476500" y="187627"/>
                <a:pt x="2543175" y="190802"/>
              </a:cubicBezTo>
              <a:lnTo>
                <a:pt x="2647950" y="181277"/>
              </a:lnTo>
              <a:cubicBezTo>
                <a:pt x="2676558" y="178416"/>
                <a:pt x="2706981" y="182430"/>
                <a:pt x="2733675" y="171752"/>
              </a:cubicBezTo>
              <a:cubicBezTo>
                <a:pt x="2742997" y="168023"/>
                <a:pt x="2740765" y="152917"/>
                <a:pt x="2743200" y="143177"/>
              </a:cubicBezTo>
              <a:cubicBezTo>
                <a:pt x="2747127" y="127471"/>
                <a:pt x="2748798" y="111258"/>
                <a:pt x="2752725" y="95552"/>
              </a:cubicBezTo>
              <a:cubicBezTo>
                <a:pt x="2755160" y="85812"/>
                <a:pt x="2754410" y="73249"/>
                <a:pt x="2762250" y="66977"/>
              </a:cubicBezTo>
              <a:cubicBezTo>
                <a:pt x="2772472" y="58799"/>
                <a:pt x="2787513" y="60019"/>
                <a:pt x="2800350" y="57452"/>
              </a:cubicBezTo>
              <a:cubicBezTo>
                <a:pt x="2819288" y="53664"/>
                <a:pt x="2838450" y="51102"/>
                <a:pt x="2857500" y="47927"/>
              </a:cubicBezTo>
              <a:cubicBezTo>
                <a:pt x="3019425" y="51102"/>
                <a:pt x="3181778" y="45264"/>
                <a:pt x="3343275" y="57452"/>
              </a:cubicBezTo>
              <a:cubicBezTo>
                <a:pt x="3362154" y="58877"/>
                <a:pt x="3368048" y="118424"/>
                <a:pt x="3371850" y="124127"/>
              </a:cubicBezTo>
              <a:cubicBezTo>
                <a:pt x="3378200" y="133652"/>
                <a:pt x="3390900" y="136827"/>
                <a:pt x="3400425" y="143177"/>
              </a:cubicBezTo>
              <a:cubicBezTo>
                <a:pt x="3406775" y="152702"/>
                <a:pt x="3410536" y="164601"/>
                <a:pt x="3419475" y="171752"/>
              </a:cubicBezTo>
              <a:cubicBezTo>
                <a:pt x="3441410" y="189300"/>
                <a:pt x="3463160" y="178649"/>
                <a:pt x="3486150" y="171752"/>
              </a:cubicBezTo>
              <a:cubicBezTo>
                <a:pt x="3505384" y="165982"/>
                <a:pt x="3524250" y="159052"/>
                <a:pt x="3543300" y="152702"/>
              </a:cubicBezTo>
              <a:lnTo>
                <a:pt x="3571875" y="143177"/>
              </a:lnTo>
              <a:cubicBezTo>
                <a:pt x="3594100" y="146352"/>
                <a:pt x="3616103" y="153126"/>
                <a:pt x="3638550" y="152702"/>
              </a:cubicBezTo>
              <a:cubicBezTo>
                <a:pt x="3784712" y="149944"/>
                <a:pt x="4076700" y="133652"/>
                <a:pt x="4076700" y="133652"/>
              </a:cubicBezTo>
              <a:cubicBezTo>
                <a:pt x="4079875" y="120952"/>
                <a:pt x="4079730" y="106918"/>
                <a:pt x="4086225" y="95552"/>
              </a:cubicBezTo>
              <a:cubicBezTo>
                <a:pt x="4108078" y="57308"/>
                <a:pt x="4139126" y="58538"/>
                <a:pt x="4181475" y="57452"/>
              </a:cubicBezTo>
              <a:cubicBezTo>
                <a:pt x="4406848" y="51673"/>
                <a:pt x="4632325" y="51102"/>
                <a:pt x="4857750" y="47927"/>
              </a:cubicBezTo>
              <a:cubicBezTo>
                <a:pt x="4914650" y="28960"/>
                <a:pt x="4921454" y="22585"/>
                <a:pt x="5010150" y="47927"/>
              </a:cubicBezTo>
              <a:cubicBezTo>
                <a:pt x="5019804" y="50685"/>
                <a:pt x="5015185" y="67522"/>
                <a:pt x="5019675" y="76502"/>
              </a:cubicBezTo>
              <a:cubicBezTo>
                <a:pt x="5035550" y="108252"/>
                <a:pt x="5038725" y="105077"/>
                <a:pt x="5067300" y="124127"/>
              </a:cubicBezTo>
              <a:cubicBezTo>
                <a:pt x="5099413" y="172297"/>
                <a:pt x="5068917" y="139223"/>
                <a:pt x="5114925" y="162227"/>
              </a:cubicBezTo>
              <a:cubicBezTo>
                <a:pt x="5125164" y="167347"/>
                <a:pt x="5133261" y="176157"/>
                <a:pt x="5143500" y="181277"/>
              </a:cubicBezTo>
              <a:cubicBezTo>
                <a:pt x="5152480" y="185767"/>
                <a:pt x="5162056" y="190156"/>
                <a:pt x="5172075" y="190802"/>
              </a:cubicBezTo>
              <a:cubicBezTo>
                <a:pt x="5260847" y="196529"/>
                <a:pt x="5349836" y="198548"/>
                <a:pt x="5438775" y="200327"/>
              </a:cubicBezTo>
              <a:cubicBezTo>
                <a:pt x="5508611" y="201724"/>
                <a:pt x="5578475" y="200327"/>
                <a:pt x="5648325" y="200327"/>
              </a:cubicBezTo>
            </a:path>
          </a:pathLst>
        </a:cu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lang="en-GB" sz="1100"/>
        </a:p>
      </xdr:txBody>
    </xdr:sp>
    <xdr:clientData/>
  </xdr:twoCellAnchor>
  <xdr:twoCellAnchor>
    <xdr:from>
      <xdr:col>0</xdr:col>
      <xdr:colOff>390525</xdr:colOff>
      <xdr:row>24</xdr:row>
      <xdr:rowOff>57150</xdr:rowOff>
    </xdr:from>
    <xdr:to>
      <xdr:col>5</xdr:col>
      <xdr:colOff>390525</xdr:colOff>
      <xdr:row>27</xdr:row>
      <xdr:rowOff>171449</xdr:rowOff>
    </xdr:to>
    <xdr:sp macro="" textlink="">
      <xdr:nvSpPr>
        <xdr:cNvPr id="20" name="TextBox 19">
          <a:extLst>
            <a:ext uri="{FF2B5EF4-FFF2-40B4-BE49-F238E27FC236}">
              <a16:creationId xmlns:a16="http://schemas.microsoft.com/office/drawing/2014/main" id="{F85FC76C-F1EB-4EFD-9734-E48A756C7886}"/>
            </a:ext>
          </a:extLst>
        </xdr:cNvPr>
        <xdr:cNvSpPr txBox="1"/>
      </xdr:nvSpPr>
      <xdr:spPr>
        <a:xfrm>
          <a:off x="390525" y="4895850"/>
          <a:ext cx="5457825"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If Heat Pump</a:t>
          </a:r>
          <a:r>
            <a:rPr lang="en-GB" sz="1800" b="1" baseline="0"/>
            <a:t> KW Heat Output &gt; 10kW Backup = 6kW</a:t>
          </a:r>
        </a:p>
        <a:p>
          <a:pPr marL="0" marR="0" lvl="0" indent="0" defTabSz="914400" eaLnBrk="1" fontAlgn="auto" latinLnBrk="0" hangingPunct="1">
            <a:lnSpc>
              <a:spcPct val="100000"/>
            </a:lnSpc>
            <a:spcBef>
              <a:spcPts val="0"/>
            </a:spcBef>
            <a:spcAft>
              <a:spcPts val="0"/>
            </a:spcAft>
            <a:buClrTx/>
            <a:buSzTx/>
            <a:buFontTx/>
            <a:buNone/>
            <a:tabLst/>
            <a:defRPr/>
          </a:pPr>
          <a:r>
            <a:rPr lang="en-GB" sz="1800" b="1">
              <a:solidFill>
                <a:schemeClr val="dk1"/>
              </a:solidFill>
              <a:effectLst/>
              <a:latin typeface="+mn-lt"/>
              <a:ea typeface="+mn-ea"/>
              <a:cs typeface="+mn-cs"/>
            </a:rPr>
            <a:t>If Heat Pump</a:t>
          </a:r>
          <a:r>
            <a:rPr lang="en-GB" sz="1800" b="1" baseline="0">
              <a:solidFill>
                <a:schemeClr val="dk1"/>
              </a:solidFill>
              <a:effectLst/>
              <a:latin typeface="+mn-lt"/>
              <a:ea typeface="+mn-ea"/>
              <a:cs typeface="+mn-cs"/>
            </a:rPr>
            <a:t> KW Heat Output &lt; 10kW Backup = 3kW </a:t>
          </a:r>
          <a:endParaRPr lang="en-GB" sz="1800" b="1">
            <a:effectLst/>
          </a:endParaRPr>
        </a:p>
        <a:p>
          <a:r>
            <a:rPr lang="en-GB" sz="1100" baseline="0"/>
            <a:t> </a:t>
          </a:r>
          <a:endParaRPr lang="en-GB" sz="1100"/>
        </a:p>
      </xdr:txBody>
    </xdr:sp>
    <xdr:clientData/>
  </xdr:twoCellAnchor>
  <xdr:twoCellAnchor>
    <xdr:from>
      <xdr:col>11</xdr:col>
      <xdr:colOff>219075</xdr:colOff>
      <xdr:row>25</xdr:row>
      <xdr:rowOff>0</xdr:rowOff>
    </xdr:from>
    <xdr:to>
      <xdr:col>16</xdr:col>
      <xdr:colOff>409575</xdr:colOff>
      <xdr:row>39</xdr:row>
      <xdr:rowOff>76200</xdr:rowOff>
    </xdr:to>
    <xdr:graphicFrame macro="">
      <xdr:nvGraphicFramePr>
        <xdr:cNvPr id="21" name="Chart 20">
          <a:extLst>
            <a:ext uri="{FF2B5EF4-FFF2-40B4-BE49-F238E27FC236}">
              <a16:creationId xmlns:a16="http://schemas.microsoft.com/office/drawing/2014/main" id="{9B7FCE00-BC2B-4DDD-A25D-678FB8CF8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895351</xdr:colOff>
      <xdr:row>11</xdr:row>
      <xdr:rowOff>57150</xdr:rowOff>
    </xdr:from>
    <xdr:to>
      <xdr:col>9</xdr:col>
      <xdr:colOff>1971675</xdr:colOff>
      <xdr:row>14</xdr:row>
      <xdr:rowOff>152399</xdr:rowOff>
    </xdr:to>
    <xdr:sp macro="" textlink="">
      <xdr:nvSpPr>
        <xdr:cNvPr id="22" name="TextBox 21">
          <a:extLst>
            <a:ext uri="{FF2B5EF4-FFF2-40B4-BE49-F238E27FC236}">
              <a16:creationId xmlns:a16="http://schemas.microsoft.com/office/drawing/2014/main" id="{78637025-F8DF-4B78-A533-C5C9635E74A4}"/>
            </a:ext>
          </a:extLst>
        </xdr:cNvPr>
        <xdr:cNvSpPr txBox="1"/>
      </xdr:nvSpPr>
      <xdr:spPr>
        <a:xfrm>
          <a:off x="8724901" y="2390775"/>
          <a:ext cx="5876924" cy="685799"/>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Single phase Fault Effect = </a:t>
          </a:r>
          <a:r>
            <a:rPr lang="en-GB" sz="1800" b="1">
              <a:solidFill>
                <a:schemeClr val="accent4">
                  <a:lumMod val="60000"/>
                  <a:lumOff val="40000"/>
                </a:schemeClr>
              </a:solidFill>
            </a:rPr>
            <a:t>62.33% (+7.33% no Diveristy)</a:t>
          </a:r>
          <a:endParaRPr lang="en-GB" sz="1800" b="1" baseline="0">
            <a:solidFill>
              <a:schemeClr val="accent4">
                <a:lumMod val="60000"/>
                <a:lumOff val="40000"/>
              </a:schemeClr>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1" baseline="0">
              <a:solidFill>
                <a:schemeClr val="dk1"/>
              </a:solidFill>
              <a:effectLst/>
              <a:latin typeface="+mn-lt"/>
              <a:ea typeface="+mn-ea"/>
              <a:cs typeface="+mn-cs"/>
            </a:rPr>
            <a:t>Three Phase Fault Effect =  </a:t>
          </a:r>
          <a:r>
            <a:rPr lang="en-GB" sz="1800" b="1" baseline="0">
              <a:solidFill>
                <a:srgbClr val="FF0000"/>
              </a:solidFill>
              <a:effectLst/>
              <a:latin typeface="+mn-lt"/>
              <a:ea typeface="+mn-ea"/>
              <a:cs typeface="+mn-cs"/>
            </a:rPr>
            <a:t>77% (+22% no Diveristy)</a:t>
          </a:r>
          <a:endParaRPr lang="en-GB" sz="1800" b="1">
            <a:solidFill>
              <a:srgbClr val="FF0000"/>
            </a:solidFill>
            <a:effectLst/>
          </a:endParaRPr>
        </a:p>
        <a:p>
          <a:r>
            <a:rPr lang="en-GB" sz="1100" baseline="0"/>
            <a:t> </a:t>
          </a:r>
          <a:endParaRPr lang="en-GB" sz="1100"/>
        </a:p>
      </xdr:txBody>
    </xdr:sp>
    <xdr:clientData/>
  </xdr:twoCellAnchor>
  <xdr:twoCellAnchor>
    <xdr:from>
      <xdr:col>4</xdr:col>
      <xdr:colOff>47626</xdr:colOff>
      <xdr:row>11</xdr:row>
      <xdr:rowOff>57150</xdr:rowOff>
    </xdr:from>
    <xdr:to>
      <xdr:col>6</xdr:col>
      <xdr:colOff>857250</xdr:colOff>
      <xdr:row>14</xdr:row>
      <xdr:rowOff>152399</xdr:rowOff>
    </xdr:to>
    <xdr:sp macro="" textlink="">
      <xdr:nvSpPr>
        <xdr:cNvPr id="23" name="TextBox 22">
          <a:extLst>
            <a:ext uri="{FF2B5EF4-FFF2-40B4-BE49-F238E27FC236}">
              <a16:creationId xmlns:a16="http://schemas.microsoft.com/office/drawing/2014/main" id="{9D248806-4338-44F2-BF9A-D29A085AB69A}"/>
            </a:ext>
          </a:extLst>
        </xdr:cNvPr>
        <xdr:cNvSpPr txBox="1"/>
      </xdr:nvSpPr>
      <xdr:spPr>
        <a:xfrm>
          <a:off x="3133726" y="2390775"/>
          <a:ext cx="5553074" cy="685799"/>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t>Power Cut Duration = </a:t>
          </a:r>
          <a:r>
            <a:rPr lang="en-GB" sz="1800" b="1">
              <a:solidFill>
                <a:schemeClr val="accent4">
                  <a:lumMod val="60000"/>
                  <a:lumOff val="40000"/>
                </a:schemeClr>
              </a:solidFill>
            </a:rPr>
            <a:t>3</a:t>
          </a:r>
          <a:r>
            <a:rPr lang="en-GB" sz="1800" b="1" baseline="0">
              <a:solidFill>
                <a:schemeClr val="accent4">
                  <a:lumMod val="60000"/>
                  <a:lumOff val="40000"/>
                </a:schemeClr>
              </a:solidFill>
            </a:rPr>
            <a:t> Hours in Dead of Winter</a:t>
          </a:r>
        </a:p>
        <a:p>
          <a:r>
            <a:rPr lang="en-GB" sz="1800" b="1" baseline="0">
              <a:solidFill>
                <a:schemeClr val="dk1"/>
              </a:solidFill>
              <a:effectLst/>
              <a:latin typeface="+mn-lt"/>
              <a:ea typeface="+mn-ea"/>
              <a:cs typeface="+mn-cs"/>
            </a:rPr>
            <a:t>Further Effects =  </a:t>
          </a:r>
          <a:r>
            <a:rPr lang="en-GB" sz="1800" b="1" baseline="0">
              <a:solidFill>
                <a:srgbClr val="FF0000"/>
              </a:solidFill>
              <a:effectLst/>
              <a:latin typeface="+mn-lt"/>
              <a:ea typeface="+mn-ea"/>
              <a:cs typeface="+mn-cs"/>
            </a:rPr>
            <a:t>House Cold or </a:t>
          </a:r>
          <a:r>
            <a:rPr lang="en-GB" sz="1800" b="1" baseline="0">
              <a:solidFill>
                <a:schemeClr val="accent6">
                  <a:lumMod val="75000"/>
                </a:schemeClr>
              </a:solidFill>
              <a:effectLst/>
              <a:latin typeface="+mn-lt"/>
              <a:ea typeface="+mn-ea"/>
              <a:cs typeface="+mn-cs"/>
            </a:rPr>
            <a:t>Batt Discharged  </a:t>
          </a:r>
          <a:endParaRPr lang="en-GB" sz="1800" b="1">
            <a:solidFill>
              <a:schemeClr val="accent6">
                <a:lumMod val="75000"/>
              </a:schemeClr>
            </a:solidFill>
            <a:effectLst/>
          </a:endParaRPr>
        </a:p>
        <a:p>
          <a:r>
            <a:rPr lang="en-GB" sz="1100" baseline="0"/>
            <a:t> </a:t>
          </a:r>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597478</xdr:colOff>
      <xdr:row>36</xdr:row>
      <xdr:rowOff>155864</xdr:rowOff>
    </xdr:from>
    <xdr:to>
      <xdr:col>6</xdr:col>
      <xdr:colOff>1349086</xdr:colOff>
      <xdr:row>44</xdr:row>
      <xdr:rowOff>155674</xdr:rowOff>
    </xdr:to>
    <xdr:pic>
      <xdr:nvPicPr>
        <xdr:cNvPr id="2" name="Picture 1">
          <a:extLst>
            <a:ext uri="{FF2B5EF4-FFF2-40B4-BE49-F238E27FC236}">
              <a16:creationId xmlns:a16="http://schemas.microsoft.com/office/drawing/2014/main" id="{24D8D3A1-B25B-4194-A7C5-C3EC1B01EAEA}"/>
            </a:ext>
          </a:extLst>
        </xdr:cNvPr>
        <xdr:cNvPicPr>
          <a:picLocks noChangeAspect="1"/>
        </xdr:cNvPicPr>
      </xdr:nvPicPr>
      <xdr:blipFill>
        <a:blip xmlns:r="http://schemas.openxmlformats.org/officeDocument/2006/relationships" r:embed="rId1"/>
        <a:stretch>
          <a:fillRect/>
        </a:stretch>
      </xdr:blipFill>
      <xdr:spPr>
        <a:xfrm>
          <a:off x="1207078" y="6994814"/>
          <a:ext cx="6942858" cy="1523810"/>
        </a:xfrm>
        <a:prstGeom prst="rect">
          <a:avLst/>
        </a:prstGeom>
      </xdr:spPr>
    </xdr:pic>
    <xdr:clientData/>
  </xdr:twoCellAnchor>
  <xdr:twoCellAnchor editAs="oneCell">
    <xdr:from>
      <xdr:col>1</xdr:col>
      <xdr:colOff>458932</xdr:colOff>
      <xdr:row>44</xdr:row>
      <xdr:rowOff>112568</xdr:rowOff>
    </xdr:from>
    <xdr:to>
      <xdr:col>6</xdr:col>
      <xdr:colOff>1464508</xdr:colOff>
      <xdr:row>53</xdr:row>
      <xdr:rowOff>131401</xdr:rowOff>
    </xdr:to>
    <xdr:pic>
      <xdr:nvPicPr>
        <xdr:cNvPr id="3" name="Picture 2">
          <a:extLst>
            <a:ext uri="{FF2B5EF4-FFF2-40B4-BE49-F238E27FC236}">
              <a16:creationId xmlns:a16="http://schemas.microsoft.com/office/drawing/2014/main" id="{1979468B-3477-4B19-9C31-44270591B087}"/>
            </a:ext>
          </a:extLst>
        </xdr:cNvPr>
        <xdr:cNvPicPr>
          <a:picLocks noChangeAspect="1"/>
        </xdr:cNvPicPr>
      </xdr:nvPicPr>
      <xdr:blipFill>
        <a:blip xmlns:r="http://schemas.openxmlformats.org/officeDocument/2006/relationships" r:embed="rId2"/>
        <a:stretch>
          <a:fillRect/>
        </a:stretch>
      </xdr:blipFill>
      <xdr:spPr>
        <a:xfrm>
          <a:off x="1068532" y="8475518"/>
          <a:ext cx="7200001" cy="1733333"/>
        </a:xfrm>
        <a:prstGeom prst="rect">
          <a:avLst/>
        </a:prstGeom>
      </xdr:spPr>
    </xdr:pic>
    <xdr:clientData/>
  </xdr:twoCellAnchor>
  <xdr:twoCellAnchor>
    <xdr:from>
      <xdr:col>7</xdr:col>
      <xdr:colOff>851767</xdr:colOff>
      <xdr:row>23</xdr:row>
      <xdr:rowOff>107084</xdr:rowOff>
    </xdr:from>
    <xdr:to>
      <xdr:col>9</xdr:col>
      <xdr:colOff>684069</xdr:colOff>
      <xdr:row>29</xdr:row>
      <xdr:rowOff>167697</xdr:rowOff>
    </xdr:to>
    <xdr:grpSp>
      <xdr:nvGrpSpPr>
        <xdr:cNvPr id="4" name="Group 3">
          <a:extLst>
            <a:ext uri="{FF2B5EF4-FFF2-40B4-BE49-F238E27FC236}">
              <a16:creationId xmlns:a16="http://schemas.microsoft.com/office/drawing/2014/main" id="{8CB647CF-A9EE-4DFB-B2F1-C11A82C84CF2}"/>
            </a:ext>
          </a:extLst>
        </xdr:cNvPr>
        <xdr:cNvGrpSpPr/>
      </xdr:nvGrpSpPr>
      <xdr:grpSpPr>
        <a:xfrm>
          <a:off x="9170267" y="4467417"/>
          <a:ext cx="2573385" cy="1203613"/>
          <a:chOff x="60683775" y="2828925"/>
          <a:chExt cx="2308426" cy="1122929"/>
        </a:xfrm>
      </xdr:grpSpPr>
      <xdr:pic>
        <xdr:nvPicPr>
          <xdr:cNvPr id="5" name="Picture 4">
            <a:extLst>
              <a:ext uri="{FF2B5EF4-FFF2-40B4-BE49-F238E27FC236}">
                <a16:creationId xmlns:a16="http://schemas.microsoft.com/office/drawing/2014/main" id="{4121991F-C07F-4396-A628-45490ECABA03}"/>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6" name="Picture 5">
            <a:extLst>
              <a:ext uri="{FF2B5EF4-FFF2-40B4-BE49-F238E27FC236}">
                <a16:creationId xmlns:a16="http://schemas.microsoft.com/office/drawing/2014/main" id="{E0E08936-C428-4407-B5CC-0D72E7C85C5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editAs="oneCell">
    <xdr:from>
      <xdr:col>1</xdr:col>
      <xdr:colOff>597478</xdr:colOff>
      <xdr:row>12</xdr:row>
      <xdr:rowOff>155863</xdr:rowOff>
    </xdr:from>
    <xdr:to>
      <xdr:col>6</xdr:col>
      <xdr:colOff>1291943</xdr:colOff>
      <xdr:row>19</xdr:row>
      <xdr:rowOff>75466</xdr:rowOff>
    </xdr:to>
    <xdr:pic>
      <xdr:nvPicPr>
        <xdr:cNvPr id="7" name="Picture 6">
          <a:extLst>
            <a:ext uri="{FF2B5EF4-FFF2-40B4-BE49-F238E27FC236}">
              <a16:creationId xmlns:a16="http://schemas.microsoft.com/office/drawing/2014/main" id="{913C5FAA-9E46-4EA0-90EE-10C42B54FD66}"/>
            </a:ext>
          </a:extLst>
        </xdr:cNvPr>
        <xdr:cNvPicPr>
          <a:picLocks noChangeAspect="1"/>
        </xdr:cNvPicPr>
      </xdr:nvPicPr>
      <xdr:blipFill>
        <a:blip xmlns:r="http://schemas.openxmlformats.org/officeDocument/2006/relationships" r:embed="rId5"/>
        <a:stretch>
          <a:fillRect/>
        </a:stretch>
      </xdr:blipFill>
      <xdr:spPr>
        <a:xfrm>
          <a:off x="1207078" y="2432338"/>
          <a:ext cx="6885715" cy="1246753"/>
        </a:xfrm>
        <a:prstGeom prst="rect">
          <a:avLst/>
        </a:prstGeom>
      </xdr:spPr>
    </xdr:pic>
    <xdr:clientData/>
  </xdr:twoCellAnchor>
  <xdr:twoCellAnchor editAs="oneCell">
    <xdr:from>
      <xdr:col>1</xdr:col>
      <xdr:colOff>580159</xdr:colOff>
      <xdr:row>18</xdr:row>
      <xdr:rowOff>181841</xdr:rowOff>
    </xdr:from>
    <xdr:to>
      <xdr:col>6</xdr:col>
      <xdr:colOff>1407958</xdr:colOff>
      <xdr:row>24</xdr:row>
      <xdr:rowOff>99159</xdr:rowOff>
    </xdr:to>
    <xdr:pic>
      <xdr:nvPicPr>
        <xdr:cNvPr id="8" name="Picture 7">
          <a:extLst>
            <a:ext uri="{FF2B5EF4-FFF2-40B4-BE49-F238E27FC236}">
              <a16:creationId xmlns:a16="http://schemas.microsoft.com/office/drawing/2014/main" id="{33A4F7E8-1684-4D3B-9305-E7FE85D6F672}"/>
            </a:ext>
          </a:extLst>
        </xdr:cNvPr>
        <xdr:cNvPicPr>
          <a:picLocks noChangeAspect="1"/>
        </xdr:cNvPicPr>
      </xdr:nvPicPr>
      <xdr:blipFill>
        <a:blip xmlns:r="http://schemas.openxmlformats.org/officeDocument/2006/relationships" r:embed="rId6"/>
        <a:stretch>
          <a:fillRect/>
        </a:stretch>
      </xdr:blipFill>
      <xdr:spPr>
        <a:xfrm>
          <a:off x="1189759" y="3591791"/>
          <a:ext cx="7019049" cy="1057143"/>
        </a:xfrm>
        <a:prstGeom prst="rect">
          <a:avLst/>
        </a:prstGeom>
      </xdr:spPr>
    </xdr:pic>
    <xdr:clientData/>
  </xdr:twoCellAnchor>
  <xdr:twoCellAnchor editAs="oneCell">
    <xdr:from>
      <xdr:col>1</xdr:col>
      <xdr:colOff>569769</xdr:colOff>
      <xdr:row>24</xdr:row>
      <xdr:rowOff>85725</xdr:rowOff>
    </xdr:from>
    <xdr:to>
      <xdr:col>6</xdr:col>
      <xdr:colOff>1394392</xdr:colOff>
      <xdr:row>36</xdr:row>
      <xdr:rowOff>167980</xdr:rowOff>
    </xdr:to>
    <xdr:pic>
      <xdr:nvPicPr>
        <xdr:cNvPr id="9" name="Picture 8">
          <a:extLst>
            <a:ext uri="{FF2B5EF4-FFF2-40B4-BE49-F238E27FC236}">
              <a16:creationId xmlns:a16="http://schemas.microsoft.com/office/drawing/2014/main" id="{31E896A5-8309-4C2D-A31B-F87B6BF3DAA5}"/>
            </a:ext>
          </a:extLst>
        </xdr:cNvPr>
        <xdr:cNvPicPr>
          <a:picLocks noChangeAspect="1"/>
        </xdr:cNvPicPr>
      </xdr:nvPicPr>
      <xdr:blipFill>
        <a:blip xmlns:r="http://schemas.openxmlformats.org/officeDocument/2006/relationships" r:embed="rId7"/>
        <a:stretch>
          <a:fillRect/>
        </a:stretch>
      </xdr:blipFill>
      <xdr:spPr>
        <a:xfrm>
          <a:off x="1179369" y="4638675"/>
          <a:ext cx="7028573" cy="2361905"/>
        </a:xfrm>
        <a:prstGeom prst="rect">
          <a:avLst/>
        </a:prstGeom>
      </xdr:spPr>
    </xdr:pic>
    <xdr:clientData/>
  </xdr:twoCellAnchor>
  <xdr:twoCellAnchor>
    <xdr:from>
      <xdr:col>4</xdr:col>
      <xdr:colOff>381000</xdr:colOff>
      <xdr:row>15</xdr:row>
      <xdr:rowOff>25978</xdr:rowOff>
    </xdr:from>
    <xdr:to>
      <xdr:col>5</xdr:col>
      <xdr:colOff>372341</xdr:colOff>
      <xdr:row>53</xdr:row>
      <xdr:rowOff>43296</xdr:rowOff>
    </xdr:to>
    <xdr:sp macro="" textlink="">
      <xdr:nvSpPr>
        <xdr:cNvPr id="10" name="Rectangle 9">
          <a:extLst>
            <a:ext uri="{FF2B5EF4-FFF2-40B4-BE49-F238E27FC236}">
              <a16:creationId xmlns:a16="http://schemas.microsoft.com/office/drawing/2014/main" id="{0ACA4024-1CD2-46A7-B36E-AA986B1EC8D7}"/>
            </a:ext>
          </a:extLst>
        </xdr:cNvPr>
        <xdr:cNvSpPr/>
      </xdr:nvSpPr>
      <xdr:spPr>
        <a:xfrm>
          <a:off x="3467100" y="2873953"/>
          <a:ext cx="1505816" cy="7246793"/>
        </a:xfrm>
        <a:prstGeom prst="rect">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100"/>
        </a:p>
      </xdr:txBody>
    </xdr:sp>
    <xdr:clientData/>
  </xdr:twoCellAnchor>
  <xdr:twoCellAnchor>
    <xdr:from>
      <xdr:col>5</xdr:col>
      <xdr:colOff>1165515</xdr:colOff>
      <xdr:row>14</xdr:row>
      <xdr:rowOff>187036</xdr:rowOff>
    </xdr:from>
    <xdr:to>
      <xdr:col>5</xdr:col>
      <xdr:colOff>2008910</xdr:colOff>
      <xdr:row>53</xdr:row>
      <xdr:rowOff>95250</xdr:rowOff>
    </xdr:to>
    <xdr:sp macro="" textlink="">
      <xdr:nvSpPr>
        <xdr:cNvPr id="11" name="Rectangle 10">
          <a:extLst>
            <a:ext uri="{FF2B5EF4-FFF2-40B4-BE49-F238E27FC236}">
              <a16:creationId xmlns:a16="http://schemas.microsoft.com/office/drawing/2014/main" id="{BAD3AB2C-DE46-4A44-8ECB-81532889CF2C}"/>
            </a:ext>
          </a:extLst>
        </xdr:cNvPr>
        <xdr:cNvSpPr/>
      </xdr:nvSpPr>
      <xdr:spPr>
        <a:xfrm>
          <a:off x="5766090" y="2844511"/>
          <a:ext cx="843395" cy="7328189"/>
        </a:xfrm>
        <a:prstGeom prst="rect">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34</xdr:row>
      <xdr:rowOff>17021</xdr:rowOff>
    </xdr:from>
    <xdr:to>
      <xdr:col>2</xdr:col>
      <xdr:colOff>2647949</xdr:colOff>
      <xdr:row>50</xdr:row>
      <xdr:rowOff>180401</xdr:rowOff>
    </xdr:to>
    <xdr:pic>
      <xdr:nvPicPr>
        <xdr:cNvPr id="2" name="Picture 1">
          <a:extLst>
            <a:ext uri="{FF2B5EF4-FFF2-40B4-BE49-F238E27FC236}">
              <a16:creationId xmlns:a16="http://schemas.microsoft.com/office/drawing/2014/main" id="{93BC2066-F83B-4557-80BE-4D75261766E0}"/>
            </a:ext>
          </a:extLst>
        </xdr:cNvPr>
        <xdr:cNvPicPr>
          <a:picLocks noChangeAspect="1"/>
        </xdr:cNvPicPr>
      </xdr:nvPicPr>
      <xdr:blipFill>
        <a:blip xmlns:r="http://schemas.openxmlformats.org/officeDocument/2006/relationships" r:embed="rId1"/>
        <a:stretch>
          <a:fillRect/>
        </a:stretch>
      </xdr:blipFill>
      <xdr:spPr>
        <a:xfrm>
          <a:off x="180975" y="6522596"/>
          <a:ext cx="3686174" cy="3230430"/>
        </a:xfrm>
        <a:prstGeom prst="rect">
          <a:avLst/>
        </a:prstGeom>
      </xdr:spPr>
    </xdr:pic>
    <xdr:clientData/>
  </xdr:twoCellAnchor>
  <xdr:twoCellAnchor editAs="oneCell">
    <xdr:from>
      <xdr:col>0</xdr:col>
      <xdr:colOff>266700</xdr:colOff>
      <xdr:row>0</xdr:row>
      <xdr:rowOff>85726</xdr:rowOff>
    </xdr:from>
    <xdr:to>
      <xdr:col>2</xdr:col>
      <xdr:colOff>2559894</xdr:colOff>
      <xdr:row>16</xdr:row>
      <xdr:rowOff>47065</xdr:rowOff>
    </xdr:to>
    <xdr:pic>
      <xdr:nvPicPr>
        <xdr:cNvPr id="3" name="Picture 2">
          <a:extLst>
            <a:ext uri="{FF2B5EF4-FFF2-40B4-BE49-F238E27FC236}">
              <a16:creationId xmlns:a16="http://schemas.microsoft.com/office/drawing/2014/main" id="{202966D5-EE13-4BBC-A52E-1988F37DCD1B}"/>
            </a:ext>
          </a:extLst>
        </xdr:cNvPr>
        <xdr:cNvPicPr>
          <a:picLocks noChangeAspect="1"/>
        </xdr:cNvPicPr>
      </xdr:nvPicPr>
      <xdr:blipFill>
        <a:blip xmlns:r="http://schemas.openxmlformats.org/officeDocument/2006/relationships" r:embed="rId2"/>
        <a:stretch>
          <a:fillRect/>
        </a:stretch>
      </xdr:blipFill>
      <xdr:spPr>
        <a:xfrm>
          <a:off x="266700" y="85726"/>
          <a:ext cx="3512394" cy="3018864"/>
        </a:xfrm>
        <a:prstGeom prst="rect">
          <a:avLst/>
        </a:prstGeom>
      </xdr:spPr>
    </xdr:pic>
    <xdr:clientData/>
  </xdr:twoCellAnchor>
  <xdr:twoCellAnchor editAs="oneCell">
    <xdr:from>
      <xdr:col>0</xdr:col>
      <xdr:colOff>57150</xdr:colOff>
      <xdr:row>17</xdr:row>
      <xdr:rowOff>50446</xdr:rowOff>
    </xdr:from>
    <xdr:to>
      <xdr:col>2</xdr:col>
      <xdr:colOff>2276475</xdr:colOff>
      <xdr:row>33</xdr:row>
      <xdr:rowOff>76200</xdr:rowOff>
    </xdr:to>
    <xdr:pic>
      <xdr:nvPicPr>
        <xdr:cNvPr id="5" name="Picture 4">
          <a:extLst>
            <a:ext uri="{FF2B5EF4-FFF2-40B4-BE49-F238E27FC236}">
              <a16:creationId xmlns:a16="http://schemas.microsoft.com/office/drawing/2014/main" id="{C3DB8672-BEA7-4CE1-B533-EE8810414031}"/>
            </a:ext>
          </a:extLst>
        </xdr:cNvPr>
        <xdr:cNvPicPr>
          <a:picLocks noChangeAspect="1"/>
        </xdr:cNvPicPr>
      </xdr:nvPicPr>
      <xdr:blipFill>
        <a:blip xmlns:r="http://schemas.openxmlformats.org/officeDocument/2006/relationships" r:embed="rId3"/>
        <a:stretch>
          <a:fillRect/>
        </a:stretch>
      </xdr:blipFill>
      <xdr:spPr>
        <a:xfrm>
          <a:off x="57150" y="3288946"/>
          <a:ext cx="3438525" cy="3092804"/>
        </a:xfrm>
        <a:prstGeom prst="rect">
          <a:avLst/>
        </a:prstGeom>
      </xdr:spPr>
    </xdr:pic>
    <xdr:clientData/>
  </xdr:twoCellAnchor>
  <xdr:twoCellAnchor editAs="oneCell">
    <xdr:from>
      <xdr:col>4</xdr:col>
      <xdr:colOff>371475</xdr:colOff>
      <xdr:row>28</xdr:row>
      <xdr:rowOff>142875</xdr:rowOff>
    </xdr:from>
    <xdr:to>
      <xdr:col>6</xdr:col>
      <xdr:colOff>66586</xdr:colOff>
      <xdr:row>31</xdr:row>
      <xdr:rowOff>170765</xdr:rowOff>
    </xdr:to>
    <xdr:pic>
      <xdr:nvPicPr>
        <xdr:cNvPr id="6" name="Picture 5">
          <a:extLst>
            <a:ext uri="{FF2B5EF4-FFF2-40B4-BE49-F238E27FC236}">
              <a16:creationId xmlns:a16="http://schemas.microsoft.com/office/drawing/2014/main" id="{450ACA5E-FA54-4C11-9854-5DA3804444E6}"/>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6086475" y="5495925"/>
          <a:ext cx="914311" cy="599390"/>
        </a:xfrm>
        <a:prstGeom prst="rect">
          <a:avLst/>
        </a:prstGeom>
      </xdr:spPr>
    </xdr:pic>
    <xdr:clientData/>
  </xdr:twoCellAnchor>
  <xdr:twoCellAnchor>
    <xdr:from>
      <xdr:col>31</xdr:col>
      <xdr:colOff>190501</xdr:colOff>
      <xdr:row>28</xdr:row>
      <xdr:rowOff>38099</xdr:rowOff>
    </xdr:from>
    <xdr:to>
      <xdr:col>33</xdr:col>
      <xdr:colOff>552451</xdr:colOff>
      <xdr:row>31</xdr:row>
      <xdr:rowOff>142874</xdr:rowOff>
    </xdr:to>
    <xdr:grpSp>
      <xdr:nvGrpSpPr>
        <xdr:cNvPr id="7" name="Group 6">
          <a:extLst>
            <a:ext uri="{FF2B5EF4-FFF2-40B4-BE49-F238E27FC236}">
              <a16:creationId xmlns:a16="http://schemas.microsoft.com/office/drawing/2014/main" id="{4A20DF6E-2E76-4B3F-BE01-3D3170E4D907}"/>
            </a:ext>
          </a:extLst>
        </xdr:cNvPr>
        <xdr:cNvGrpSpPr/>
      </xdr:nvGrpSpPr>
      <xdr:grpSpPr>
        <a:xfrm>
          <a:off x="27965401" y="5391149"/>
          <a:ext cx="1581150" cy="676275"/>
          <a:chOff x="60683775" y="2828925"/>
          <a:chExt cx="2308426" cy="1122929"/>
        </a:xfrm>
      </xdr:grpSpPr>
      <xdr:pic>
        <xdr:nvPicPr>
          <xdr:cNvPr id="8" name="Picture 7">
            <a:extLst>
              <a:ext uri="{FF2B5EF4-FFF2-40B4-BE49-F238E27FC236}">
                <a16:creationId xmlns:a16="http://schemas.microsoft.com/office/drawing/2014/main" id="{68228368-B035-4634-BBCE-8F178824FE18}"/>
              </a:ext>
            </a:extLst>
          </xdr:cNvPr>
          <xdr:cNvPicPr>
            <a:picLocks noChangeAspect="1"/>
          </xdr:cNvPicPr>
        </xdr:nvPicPr>
        <xdr:blipFill>
          <a:blip xmlns:r="http://schemas.openxmlformats.org/officeDocument/2006/relationships" r:embed="rId5"/>
          <a:stretch>
            <a:fillRect/>
          </a:stretch>
        </xdr:blipFill>
        <xdr:spPr>
          <a:xfrm>
            <a:off x="60683775" y="2828925"/>
            <a:ext cx="2308426" cy="1122929"/>
          </a:xfrm>
          <a:prstGeom prst="rect">
            <a:avLst/>
          </a:prstGeom>
        </xdr:spPr>
      </xdr:pic>
      <xdr:pic>
        <xdr:nvPicPr>
          <xdr:cNvPr id="9" name="Picture 8">
            <a:extLst>
              <a:ext uri="{FF2B5EF4-FFF2-40B4-BE49-F238E27FC236}">
                <a16:creationId xmlns:a16="http://schemas.microsoft.com/office/drawing/2014/main" id="{B0AD627F-EE1E-4992-8E11-B005D56EE20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18</xdr:row>
      <xdr:rowOff>27889</xdr:rowOff>
    </xdr:to>
    <xdr:grpSp>
      <xdr:nvGrpSpPr>
        <xdr:cNvPr id="2" name="Group 1">
          <a:extLst>
            <a:ext uri="{FF2B5EF4-FFF2-40B4-BE49-F238E27FC236}">
              <a16:creationId xmlns:a16="http://schemas.microsoft.com/office/drawing/2014/main" id="{98E2EDEE-D69E-495E-8F59-0031EC5FCDD6}"/>
            </a:ext>
          </a:extLst>
        </xdr:cNvPr>
        <xdr:cNvGrpSpPr/>
      </xdr:nvGrpSpPr>
      <xdr:grpSpPr>
        <a:xfrm>
          <a:off x="0" y="2295525"/>
          <a:ext cx="0" cy="1161364"/>
          <a:chOff x="12153900" y="2990850"/>
          <a:chExt cx="2861257" cy="1875740"/>
        </a:xfrm>
      </xdr:grpSpPr>
      <xdr:pic>
        <xdr:nvPicPr>
          <xdr:cNvPr id="3" name="Picture 2">
            <a:extLst>
              <a:ext uri="{FF2B5EF4-FFF2-40B4-BE49-F238E27FC236}">
                <a16:creationId xmlns:a16="http://schemas.microsoft.com/office/drawing/2014/main" id="{29C3DAB2-34C1-44D8-A04E-A1A9E9A7F071}"/>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4" name="Picture 3">
            <a:extLst>
              <a:ext uri="{FF2B5EF4-FFF2-40B4-BE49-F238E27FC236}">
                <a16:creationId xmlns:a16="http://schemas.microsoft.com/office/drawing/2014/main" id="{D1B6D0E8-C4FC-4E0E-BA9D-CD17CB94D851}"/>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twoCellAnchor>
    <xdr:from>
      <xdr:col>0</xdr:col>
      <xdr:colOff>0</xdr:colOff>
      <xdr:row>1</xdr:row>
      <xdr:rowOff>190499</xdr:rowOff>
    </xdr:from>
    <xdr:to>
      <xdr:col>0</xdr:col>
      <xdr:colOff>0</xdr:colOff>
      <xdr:row>7</xdr:row>
      <xdr:rowOff>38100</xdr:rowOff>
    </xdr:to>
    <xdr:grpSp>
      <xdr:nvGrpSpPr>
        <xdr:cNvPr id="5" name="Group 4">
          <a:extLst>
            <a:ext uri="{FF2B5EF4-FFF2-40B4-BE49-F238E27FC236}">
              <a16:creationId xmlns:a16="http://schemas.microsoft.com/office/drawing/2014/main" id="{5979ED3F-D985-4F87-97CF-5F9E3386B148}"/>
            </a:ext>
          </a:extLst>
        </xdr:cNvPr>
        <xdr:cNvGrpSpPr/>
      </xdr:nvGrpSpPr>
      <xdr:grpSpPr>
        <a:xfrm>
          <a:off x="0" y="380999"/>
          <a:ext cx="0" cy="990601"/>
          <a:chOff x="12153900" y="2990850"/>
          <a:chExt cx="2861257" cy="1875740"/>
        </a:xfrm>
      </xdr:grpSpPr>
      <xdr:pic>
        <xdr:nvPicPr>
          <xdr:cNvPr id="6" name="Picture 5">
            <a:extLst>
              <a:ext uri="{FF2B5EF4-FFF2-40B4-BE49-F238E27FC236}">
                <a16:creationId xmlns:a16="http://schemas.microsoft.com/office/drawing/2014/main" id="{0F7EF48C-6821-455E-B895-7CEF1B876D1A}"/>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7" name="Picture 6">
            <a:extLst>
              <a:ext uri="{FF2B5EF4-FFF2-40B4-BE49-F238E27FC236}">
                <a16:creationId xmlns:a16="http://schemas.microsoft.com/office/drawing/2014/main" id="{F0AF319C-ACA7-4AF7-B797-50D6631EA9A3}"/>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oneCellAnchor>
    <xdr:from>
      <xdr:col>55</xdr:col>
      <xdr:colOff>388198</xdr:colOff>
      <xdr:row>1</xdr:row>
      <xdr:rowOff>9524</xdr:rowOff>
    </xdr:from>
    <xdr:ext cx="1309333" cy="593304"/>
    <xdr:sp macro="" textlink="">
      <xdr:nvSpPr>
        <xdr:cNvPr id="8" name="Rectangle 7">
          <a:extLst>
            <a:ext uri="{FF2B5EF4-FFF2-40B4-BE49-F238E27FC236}">
              <a16:creationId xmlns:a16="http://schemas.microsoft.com/office/drawing/2014/main" id="{F516A0E3-93AC-46CC-82FB-AEE9FEBCD72B}"/>
            </a:ext>
          </a:extLst>
        </xdr:cNvPr>
        <xdr:cNvSpPr/>
      </xdr:nvSpPr>
      <xdr:spPr>
        <a:xfrm>
          <a:off x="7055698" y="200024"/>
          <a:ext cx="1309333" cy="593304"/>
        </a:xfrm>
        <a:prstGeom prst="rect">
          <a:avLst/>
        </a:prstGeom>
        <a:noFill/>
      </xdr:spPr>
      <xdr:txBody>
        <a:bodyPr wrap="none" lIns="91440" tIns="45720" rIns="91440" bIns="45720">
          <a:spAutoFit/>
        </a:bodyPr>
        <a:lstStyle/>
        <a:p>
          <a:pPr algn="ctr"/>
          <a:r>
            <a:rPr lang="en-US" sz="32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clientData/>
  </xdr:oneCellAnchor>
  <xdr:twoCellAnchor>
    <xdr:from>
      <xdr:col>0</xdr:col>
      <xdr:colOff>0</xdr:colOff>
      <xdr:row>29</xdr:row>
      <xdr:rowOff>0</xdr:rowOff>
    </xdr:from>
    <xdr:to>
      <xdr:col>0</xdr:col>
      <xdr:colOff>0</xdr:colOff>
      <xdr:row>34</xdr:row>
      <xdr:rowOff>118102</xdr:rowOff>
    </xdr:to>
    <xdr:grpSp>
      <xdr:nvGrpSpPr>
        <xdr:cNvPr id="9" name="Group 8">
          <a:extLst>
            <a:ext uri="{FF2B5EF4-FFF2-40B4-BE49-F238E27FC236}">
              <a16:creationId xmlns:a16="http://schemas.microsoft.com/office/drawing/2014/main" id="{423C6237-DA54-4EB2-AA58-1C9E50AA78E8}"/>
            </a:ext>
          </a:extLst>
        </xdr:cNvPr>
        <xdr:cNvGrpSpPr/>
      </xdr:nvGrpSpPr>
      <xdr:grpSpPr>
        <a:xfrm>
          <a:off x="0" y="5524500"/>
          <a:ext cx="0" cy="1070602"/>
          <a:chOff x="8572500" y="3876675"/>
          <a:chExt cx="5882031" cy="2861302"/>
        </a:xfrm>
      </xdr:grpSpPr>
      <xdr:pic>
        <xdr:nvPicPr>
          <xdr:cNvPr id="10" name="Picture 9">
            <a:extLst>
              <a:ext uri="{FF2B5EF4-FFF2-40B4-BE49-F238E27FC236}">
                <a16:creationId xmlns:a16="http://schemas.microsoft.com/office/drawing/2014/main" id="{59D21A0A-6040-43CB-BCD6-D470AA670F95}"/>
              </a:ext>
            </a:extLst>
          </xdr:cNvPr>
          <xdr:cNvPicPr>
            <a:picLocks noChangeAspect="1"/>
          </xdr:cNvPicPr>
        </xdr:nvPicPr>
        <xdr:blipFill>
          <a:blip xmlns:r="http://schemas.openxmlformats.org/officeDocument/2006/relationships" r:embed="rId3"/>
          <a:stretch>
            <a:fillRect/>
          </a:stretch>
        </xdr:blipFill>
        <xdr:spPr>
          <a:xfrm>
            <a:off x="8572500" y="3876675"/>
            <a:ext cx="5882031" cy="2861302"/>
          </a:xfrm>
          <a:prstGeom prst="rect">
            <a:avLst/>
          </a:prstGeom>
        </xdr:spPr>
      </xdr:pic>
      <xdr:pic>
        <xdr:nvPicPr>
          <xdr:cNvPr id="11" name="Picture 10">
            <a:extLst>
              <a:ext uri="{FF2B5EF4-FFF2-40B4-BE49-F238E27FC236}">
                <a16:creationId xmlns:a16="http://schemas.microsoft.com/office/drawing/2014/main" id="{1591253D-2C64-4FA7-8D3A-2C8AC8AA3322}"/>
              </a:ext>
            </a:extLst>
          </xdr:cNvPr>
          <xdr:cNvPicPr>
            <a:picLocks noChangeAspect="1"/>
          </xdr:cNvPicPr>
        </xdr:nvPicPr>
        <xdr:blipFill>
          <a:blip xmlns:r="http://schemas.openxmlformats.org/officeDocument/2006/relationships" r:embed="rId4"/>
          <a:stretch>
            <a:fillRect/>
          </a:stretch>
        </xdr:blipFill>
        <xdr:spPr>
          <a:xfrm>
            <a:off x="11582400" y="4730026"/>
            <a:ext cx="537973" cy="1051495"/>
          </a:xfrm>
          <a:prstGeom prst="rect">
            <a:avLst/>
          </a:prstGeom>
        </xdr:spPr>
      </xdr:pic>
    </xdr:grpSp>
    <xdr:clientData/>
  </xdr:twoCellAnchor>
  <xdr:twoCellAnchor editAs="oneCell">
    <xdr:from>
      <xdr:col>56</xdr:col>
      <xdr:colOff>0</xdr:colOff>
      <xdr:row>17</xdr:row>
      <xdr:rowOff>0</xdr:rowOff>
    </xdr:from>
    <xdr:to>
      <xdr:col>56</xdr:col>
      <xdr:colOff>304800</xdr:colOff>
      <xdr:row>18</xdr:row>
      <xdr:rowOff>114300</xdr:rowOff>
    </xdr:to>
    <xdr:sp macro="" textlink="">
      <xdr:nvSpPr>
        <xdr:cNvPr id="12" name="AutoShape 3" descr="Transparent Background Calculator Clipart">
          <a:extLst>
            <a:ext uri="{FF2B5EF4-FFF2-40B4-BE49-F238E27FC236}">
              <a16:creationId xmlns:a16="http://schemas.microsoft.com/office/drawing/2014/main" id="{00693689-B288-451D-B11A-A832D180C6CB}"/>
            </a:ext>
          </a:extLst>
        </xdr:cNvPr>
        <xdr:cNvSpPr>
          <a:spLocks noChangeAspect="1" noChangeArrowheads="1"/>
        </xdr:cNvSpPr>
      </xdr:nvSpPr>
      <xdr:spPr bwMode="auto">
        <a:xfrm>
          <a:off x="72771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54</xdr:col>
      <xdr:colOff>466724</xdr:colOff>
      <xdr:row>2</xdr:row>
      <xdr:rowOff>152400</xdr:rowOff>
    </xdr:from>
    <xdr:to>
      <xdr:col>58</xdr:col>
      <xdr:colOff>428624</xdr:colOff>
      <xdr:row>15</xdr:row>
      <xdr:rowOff>76200</xdr:rowOff>
    </xdr:to>
    <xdr:pic>
      <xdr:nvPicPr>
        <xdr:cNvPr id="13" name="Picture 12" descr="Transparent Background Calculator Clipart">
          <a:extLst>
            <a:ext uri="{FF2B5EF4-FFF2-40B4-BE49-F238E27FC236}">
              <a16:creationId xmlns:a16="http://schemas.microsoft.com/office/drawing/2014/main" id="{E7A25B34-40C6-47A5-979B-029B443DD41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24624" y="533400"/>
          <a:ext cx="24003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565150</xdr:colOff>
      <xdr:row>20</xdr:row>
      <xdr:rowOff>155575</xdr:rowOff>
    </xdr:from>
    <xdr:to>
      <xdr:col>51</xdr:col>
      <xdr:colOff>1552745</xdr:colOff>
      <xdr:row>26</xdr:row>
      <xdr:rowOff>59640</xdr:rowOff>
    </xdr:to>
    <xdr:pic>
      <xdr:nvPicPr>
        <xdr:cNvPr id="14" name="Picture 13">
          <a:extLst>
            <a:ext uri="{FF2B5EF4-FFF2-40B4-BE49-F238E27FC236}">
              <a16:creationId xmlns:a16="http://schemas.microsoft.com/office/drawing/2014/main" id="{3F540C6B-A345-4901-9A70-DF30885D813C}"/>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565150" y="3965575"/>
          <a:ext cx="1597195" cy="1047065"/>
        </a:xfrm>
        <a:prstGeom prst="rect">
          <a:avLst/>
        </a:prstGeom>
      </xdr:spPr>
    </xdr:pic>
    <xdr:clientData/>
  </xdr:twoCellAnchor>
  <xdr:twoCellAnchor>
    <xdr:from>
      <xdr:col>52</xdr:col>
      <xdr:colOff>349252</xdr:colOff>
      <xdr:row>20</xdr:row>
      <xdr:rowOff>123826</xdr:rowOff>
    </xdr:from>
    <xdr:to>
      <xdr:col>53</xdr:col>
      <xdr:colOff>306388</xdr:colOff>
      <xdr:row>25</xdr:row>
      <xdr:rowOff>187327</xdr:rowOff>
    </xdr:to>
    <xdr:grpSp>
      <xdr:nvGrpSpPr>
        <xdr:cNvPr id="15" name="Group 14">
          <a:extLst>
            <a:ext uri="{FF2B5EF4-FFF2-40B4-BE49-F238E27FC236}">
              <a16:creationId xmlns:a16="http://schemas.microsoft.com/office/drawing/2014/main" id="{B3C96829-890D-424E-B36D-FF110E0DED6C}"/>
            </a:ext>
          </a:extLst>
        </xdr:cNvPr>
        <xdr:cNvGrpSpPr/>
      </xdr:nvGrpSpPr>
      <xdr:grpSpPr>
        <a:xfrm>
          <a:off x="53689252" y="3933826"/>
          <a:ext cx="2033586" cy="1016001"/>
          <a:chOff x="60683775" y="2828925"/>
          <a:chExt cx="2308426" cy="1122929"/>
        </a:xfrm>
      </xdr:grpSpPr>
      <xdr:pic>
        <xdr:nvPicPr>
          <xdr:cNvPr id="16" name="Picture 15">
            <a:extLst>
              <a:ext uri="{FF2B5EF4-FFF2-40B4-BE49-F238E27FC236}">
                <a16:creationId xmlns:a16="http://schemas.microsoft.com/office/drawing/2014/main" id="{10087AAF-BA55-4BB7-855F-5B95005A81ED}"/>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17" name="Picture 16">
            <a:extLst>
              <a:ext uri="{FF2B5EF4-FFF2-40B4-BE49-F238E27FC236}">
                <a16:creationId xmlns:a16="http://schemas.microsoft.com/office/drawing/2014/main" id="{88225DAB-A195-4B28-A471-1439BC09B31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xdr:from>
      <xdr:col>51</xdr:col>
      <xdr:colOff>1897062</xdr:colOff>
      <xdr:row>23</xdr:row>
      <xdr:rowOff>30163</xdr:rowOff>
    </xdr:from>
    <xdr:to>
      <xdr:col>51</xdr:col>
      <xdr:colOff>2573337</xdr:colOff>
      <xdr:row>24</xdr:row>
      <xdr:rowOff>30163</xdr:rowOff>
    </xdr:to>
    <xdr:sp macro="" textlink="">
      <xdr:nvSpPr>
        <xdr:cNvPr id="18" name="Arrow: Right 17">
          <a:extLst>
            <a:ext uri="{FF2B5EF4-FFF2-40B4-BE49-F238E27FC236}">
              <a16:creationId xmlns:a16="http://schemas.microsoft.com/office/drawing/2014/main" id="{688B3D82-7CA9-4548-B870-BCDCB0DC96C1}"/>
            </a:ext>
          </a:extLst>
        </xdr:cNvPr>
        <xdr:cNvSpPr/>
      </xdr:nvSpPr>
      <xdr:spPr>
        <a:xfrm>
          <a:off x="2506662" y="4411663"/>
          <a:ext cx="67627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174625</xdr:colOff>
      <xdr:row>11</xdr:row>
      <xdr:rowOff>111125</xdr:rowOff>
    </xdr:from>
    <xdr:to>
      <xdr:col>51</xdr:col>
      <xdr:colOff>1698625</xdr:colOff>
      <xdr:row>15</xdr:row>
      <xdr:rowOff>141606</xdr:rowOff>
    </xdr:to>
    <xdr:pic>
      <xdr:nvPicPr>
        <xdr:cNvPr id="19" name="Picture 18" descr="SP Energy Networks | LinkedIn">
          <a:extLst>
            <a:ext uri="{FF2B5EF4-FFF2-40B4-BE49-F238E27FC236}">
              <a16:creationId xmlns:a16="http://schemas.microsoft.com/office/drawing/2014/main" id="{6BEA9F66-201C-4AF3-A127-3356BD70F346}"/>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2500" b="25500"/>
        <a:stretch/>
      </xdr:blipFill>
      <xdr:spPr bwMode="auto">
        <a:xfrm>
          <a:off x="784225" y="2206625"/>
          <a:ext cx="1524000" cy="792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301625</xdr:colOff>
      <xdr:row>15</xdr:row>
      <xdr:rowOff>15873</xdr:rowOff>
    </xdr:from>
    <xdr:to>
      <xdr:col>58</xdr:col>
      <xdr:colOff>55562</xdr:colOff>
      <xdr:row>21</xdr:row>
      <xdr:rowOff>131533</xdr:rowOff>
    </xdr:to>
    <xdr:pic>
      <xdr:nvPicPr>
        <xdr:cNvPr id="20" name="Picture 19">
          <a:extLst>
            <a:ext uri="{FF2B5EF4-FFF2-40B4-BE49-F238E27FC236}">
              <a16:creationId xmlns:a16="http://schemas.microsoft.com/office/drawing/2014/main" id="{342F0AF6-49B4-4F8D-BD02-3974D7F3466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969125" y="2873373"/>
          <a:ext cx="1582737" cy="1258660"/>
        </a:xfrm>
        <a:prstGeom prst="rect">
          <a:avLst/>
        </a:prstGeom>
        <a:noFill/>
        <a:ln>
          <a:noFill/>
        </a:ln>
      </xdr:spPr>
    </xdr:pic>
    <xdr:clientData/>
  </xdr:twoCellAnchor>
  <xdr:twoCellAnchor>
    <xdr:from>
      <xdr:col>50</xdr:col>
      <xdr:colOff>523875</xdr:colOff>
      <xdr:row>26</xdr:row>
      <xdr:rowOff>171450</xdr:rowOff>
    </xdr:from>
    <xdr:to>
      <xdr:col>59</xdr:col>
      <xdr:colOff>445611</xdr:colOff>
      <xdr:row>29</xdr:row>
      <xdr:rowOff>61615</xdr:rowOff>
    </xdr:to>
    <xdr:grpSp>
      <xdr:nvGrpSpPr>
        <xdr:cNvPr id="21" name="Group 20">
          <a:extLst>
            <a:ext uri="{FF2B5EF4-FFF2-40B4-BE49-F238E27FC236}">
              <a16:creationId xmlns:a16="http://schemas.microsoft.com/office/drawing/2014/main" id="{A940DEB3-D1CB-42CC-95B4-C12EFAAECA42}"/>
            </a:ext>
          </a:extLst>
        </xdr:cNvPr>
        <xdr:cNvGrpSpPr/>
      </xdr:nvGrpSpPr>
      <xdr:grpSpPr>
        <a:xfrm>
          <a:off x="50549175" y="5124450"/>
          <a:ext cx="9027636" cy="461665"/>
          <a:chOff x="501353" y="1993652"/>
          <a:chExt cx="9065736" cy="461665"/>
        </a:xfrm>
      </xdr:grpSpPr>
      <xdr:pic>
        <xdr:nvPicPr>
          <xdr:cNvPr id="22" name="Picture 21">
            <a:extLst>
              <a:ext uri="{FF2B5EF4-FFF2-40B4-BE49-F238E27FC236}">
                <a16:creationId xmlns:a16="http://schemas.microsoft.com/office/drawing/2014/main" id="{6B25FC8B-1145-4083-AEC7-C6E1E8DC0EC9}"/>
              </a:ext>
            </a:extLst>
          </xdr:cNvPr>
          <xdr:cNvPicPr>
            <a:picLocks noChangeAspect="1"/>
          </xdr:cNvPicPr>
        </xdr:nvPicPr>
        <xdr:blipFill rotWithShape="1">
          <a:blip xmlns:r="http://schemas.openxmlformats.org/officeDocument/2006/relationships" r:embed="rId9"/>
          <a:srcRect t="-1" r="29452" b="-10230"/>
          <a:stretch/>
        </xdr:blipFill>
        <xdr:spPr>
          <a:xfrm>
            <a:off x="501353" y="2204864"/>
            <a:ext cx="6323855" cy="250453"/>
          </a:xfrm>
          <a:prstGeom prst="rect">
            <a:avLst/>
          </a:prstGeom>
        </xdr:spPr>
      </xdr:pic>
      <xdr:pic>
        <xdr:nvPicPr>
          <xdr:cNvPr id="23" name="Picture 22">
            <a:extLst>
              <a:ext uri="{FF2B5EF4-FFF2-40B4-BE49-F238E27FC236}">
                <a16:creationId xmlns:a16="http://schemas.microsoft.com/office/drawing/2014/main" id="{49A573D6-CEB9-4780-8633-8D8A9B731BDA}"/>
              </a:ext>
            </a:extLst>
          </xdr:cNvPr>
          <xdr:cNvPicPr>
            <a:picLocks noChangeAspect="1"/>
          </xdr:cNvPicPr>
        </xdr:nvPicPr>
        <xdr:blipFill rotWithShape="1">
          <a:blip xmlns:r="http://schemas.openxmlformats.org/officeDocument/2006/relationships" r:embed="rId9"/>
          <a:srcRect l="70691" t="5811"/>
          <a:stretch/>
        </xdr:blipFill>
        <xdr:spPr>
          <a:xfrm>
            <a:off x="6939793" y="2203748"/>
            <a:ext cx="2627296" cy="214005"/>
          </a:xfrm>
          <a:prstGeom prst="rect">
            <a:avLst/>
          </a:prstGeom>
        </xdr:spPr>
      </xdr:pic>
      <xdr:sp macro="" textlink="">
        <xdr:nvSpPr>
          <xdr:cNvPr id="24" name="Rectangle 23">
            <a:extLst>
              <a:ext uri="{FF2B5EF4-FFF2-40B4-BE49-F238E27FC236}">
                <a16:creationId xmlns:a16="http://schemas.microsoft.com/office/drawing/2014/main" id="{633FDDB0-38AA-4B1C-933B-388B3B88D0AA}"/>
              </a:ext>
            </a:extLst>
          </xdr:cNvPr>
          <xdr:cNvSpPr/>
        </xdr:nvSpPr>
        <xdr:spPr>
          <a:xfrm>
            <a:off x="6738872" y="1993652"/>
            <a:ext cx="287258" cy="461665"/>
          </a:xfrm>
          <a:prstGeom prst="rect">
            <a:avLst/>
          </a:prstGeom>
        </xdr:spPr>
        <xdr:txBody>
          <a:bodyPr wrap="square">
            <a:spAutoFit/>
          </a:bodyPr>
          <a:lstStyle>
            <a:defPPr>
              <a:defRPr lang="es-ES_tradnl"/>
            </a:defPPr>
            <a:lvl1pPr algn="l" rtl="0" fontAlgn="base">
              <a:spcBef>
                <a:spcPct val="0"/>
              </a:spcBef>
              <a:spcAft>
                <a:spcPct val="0"/>
              </a:spcAft>
              <a:defRPr sz="2800" kern="1200">
                <a:solidFill>
                  <a:srgbClr val="447D1B"/>
                </a:solidFill>
                <a:latin typeface="Arial" pitchFamily="34" charset="0"/>
                <a:ea typeface="+mn-ea"/>
                <a:cs typeface="+mn-cs"/>
              </a:defRPr>
            </a:lvl1pPr>
            <a:lvl2pPr marL="457097" algn="l" rtl="0" fontAlgn="base">
              <a:spcBef>
                <a:spcPct val="0"/>
              </a:spcBef>
              <a:spcAft>
                <a:spcPct val="0"/>
              </a:spcAft>
              <a:defRPr sz="2800" kern="1200">
                <a:solidFill>
                  <a:srgbClr val="447D1B"/>
                </a:solidFill>
                <a:latin typeface="Arial" pitchFamily="34" charset="0"/>
                <a:ea typeface="+mn-ea"/>
                <a:cs typeface="+mn-cs"/>
              </a:defRPr>
            </a:lvl2pPr>
            <a:lvl3pPr marL="914192" algn="l" rtl="0" fontAlgn="base">
              <a:spcBef>
                <a:spcPct val="0"/>
              </a:spcBef>
              <a:spcAft>
                <a:spcPct val="0"/>
              </a:spcAft>
              <a:defRPr sz="2800" kern="1200">
                <a:solidFill>
                  <a:srgbClr val="447D1B"/>
                </a:solidFill>
                <a:latin typeface="Arial" pitchFamily="34" charset="0"/>
                <a:ea typeface="+mn-ea"/>
                <a:cs typeface="+mn-cs"/>
              </a:defRPr>
            </a:lvl3pPr>
            <a:lvl4pPr marL="1371289" algn="l" rtl="0" fontAlgn="base">
              <a:spcBef>
                <a:spcPct val="0"/>
              </a:spcBef>
              <a:spcAft>
                <a:spcPct val="0"/>
              </a:spcAft>
              <a:defRPr sz="2800" kern="1200">
                <a:solidFill>
                  <a:srgbClr val="447D1B"/>
                </a:solidFill>
                <a:latin typeface="Arial" pitchFamily="34" charset="0"/>
                <a:ea typeface="+mn-ea"/>
                <a:cs typeface="+mn-cs"/>
              </a:defRPr>
            </a:lvl4pPr>
            <a:lvl5pPr marL="1828384" algn="l" rtl="0" fontAlgn="base">
              <a:spcBef>
                <a:spcPct val="0"/>
              </a:spcBef>
              <a:spcAft>
                <a:spcPct val="0"/>
              </a:spcAft>
              <a:defRPr sz="2800" kern="1200">
                <a:solidFill>
                  <a:srgbClr val="447D1B"/>
                </a:solidFill>
                <a:latin typeface="Arial" pitchFamily="34" charset="0"/>
                <a:ea typeface="+mn-ea"/>
                <a:cs typeface="+mn-cs"/>
              </a:defRPr>
            </a:lvl5pPr>
            <a:lvl6pPr marL="2285480" algn="l" defTabSz="914192" rtl="0" eaLnBrk="1" latinLnBrk="0" hangingPunct="1">
              <a:defRPr sz="2800" kern="1200">
                <a:solidFill>
                  <a:srgbClr val="447D1B"/>
                </a:solidFill>
                <a:latin typeface="Arial" pitchFamily="34" charset="0"/>
                <a:ea typeface="+mn-ea"/>
                <a:cs typeface="+mn-cs"/>
              </a:defRPr>
            </a:lvl6pPr>
            <a:lvl7pPr marL="2742576" algn="l" defTabSz="914192" rtl="0" eaLnBrk="1" latinLnBrk="0" hangingPunct="1">
              <a:defRPr sz="2800" kern="1200">
                <a:solidFill>
                  <a:srgbClr val="447D1B"/>
                </a:solidFill>
                <a:latin typeface="Arial" pitchFamily="34" charset="0"/>
                <a:ea typeface="+mn-ea"/>
                <a:cs typeface="+mn-cs"/>
              </a:defRPr>
            </a:lvl7pPr>
            <a:lvl8pPr marL="3199672" algn="l" defTabSz="914192" rtl="0" eaLnBrk="1" latinLnBrk="0" hangingPunct="1">
              <a:defRPr sz="2800" kern="1200">
                <a:solidFill>
                  <a:srgbClr val="447D1B"/>
                </a:solidFill>
                <a:latin typeface="Arial" pitchFamily="34" charset="0"/>
                <a:ea typeface="+mn-ea"/>
                <a:cs typeface="+mn-cs"/>
              </a:defRPr>
            </a:lvl8pPr>
            <a:lvl9pPr marL="3656768" algn="l" defTabSz="914192" rtl="0" eaLnBrk="1" latinLnBrk="0" hangingPunct="1">
              <a:defRPr sz="2800" kern="1200">
                <a:solidFill>
                  <a:srgbClr val="447D1B"/>
                </a:solidFill>
                <a:latin typeface="Arial" pitchFamily="34" charset="0"/>
                <a:ea typeface="+mn-ea"/>
                <a:cs typeface="+mn-cs"/>
              </a:defRPr>
            </a:lvl9pPr>
          </a:lstStyle>
          <a:p>
            <a:r>
              <a:rPr lang="en-GB" sz="2400">
                <a:solidFill>
                  <a:schemeClr val="accent4">
                    <a:lumMod val="10000"/>
                  </a:schemeClr>
                </a:solidFill>
              </a:rPr>
              <a:t>-</a:t>
            </a:r>
          </a:p>
        </xdr:txBody>
      </xdr:sp>
    </xdr:grpSp>
    <xdr:clientData/>
  </xdr:twoCellAnchor>
  <xdr:twoCellAnchor editAs="oneCell">
    <xdr:from>
      <xdr:col>59</xdr:col>
      <xdr:colOff>76200</xdr:colOff>
      <xdr:row>2</xdr:row>
      <xdr:rowOff>152400</xdr:rowOff>
    </xdr:from>
    <xdr:to>
      <xdr:col>65</xdr:col>
      <xdr:colOff>554580</xdr:colOff>
      <xdr:row>19</xdr:row>
      <xdr:rowOff>18516</xdr:rowOff>
    </xdr:to>
    <xdr:pic>
      <xdr:nvPicPr>
        <xdr:cNvPr id="25" name="Picture 24">
          <a:extLst>
            <a:ext uri="{FF2B5EF4-FFF2-40B4-BE49-F238E27FC236}">
              <a16:creationId xmlns:a16="http://schemas.microsoft.com/office/drawing/2014/main" id="{083F3C3A-7538-426B-805F-5E6DE3E0782C}"/>
            </a:ext>
          </a:extLst>
        </xdr:cNvPr>
        <xdr:cNvPicPr>
          <a:picLocks noChangeAspect="1"/>
        </xdr:cNvPicPr>
      </xdr:nvPicPr>
      <xdr:blipFill>
        <a:blip xmlns:r="http://schemas.openxmlformats.org/officeDocument/2006/relationships" r:embed="rId10"/>
        <a:stretch>
          <a:fillRect/>
        </a:stretch>
      </xdr:blipFill>
      <xdr:spPr>
        <a:xfrm>
          <a:off x="9182100" y="533400"/>
          <a:ext cx="4135980" cy="31046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18</xdr:row>
      <xdr:rowOff>27889</xdr:rowOff>
    </xdr:to>
    <xdr:grpSp>
      <xdr:nvGrpSpPr>
        <xdr:cNvPr id="2" name="Group 1">
          <a:extLst>
            <a:ext uri="{FF2B5EF4-FFF2-40B4-BE49-F238E27FC236}">
              <a16:creationId xmlns:a16="http://schemas.microsoft.com/office/drawing/2014/main" id="{3EEF9C80-184E-4E1F-82F4-7543313E2B84}"/>
            </a:ext>
          </a:extLst>
        </xdr:cNvPr>
        <xdr:cNvGrpSpPr/>
      </xdr:nvGrpSpPr>
      <xdr:grpSpPr>
        <a:xfrm>
          <a:off x="0" y="2298700"/>
          <a:ext cx="0" cy="1161364"/>
          <a:chOff x="12153900" y="2990850"/>
          <a:chExt cx="2861257" cy="1875740"/>
        </a:xfrm>
      </xdr:grpSpPr>
      <xdr:pic>
        <xdr:nvPicPr>
          <xdr:cNvPr id="3" name="Picture 2">
            <a:extLst>
              <a:ext uri="{FF2B5EF4-FFF2-40B4-BE49-F238E27FC236}">
                <a16:creationId xmlns:a16="http://schemas.microsoft.com/office/drawing/2014/main" id="{E8C7B91F-39FC-4123-9650-7DC4524E4A43}"/>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4" name="Picture 3">
            <a:extLst>
              <a:ext uri="{FF2B5EF4-FFF2-40B4-BE49-F238E27FC236}">
                <a16:creationId xmlns:a16="http://schemas.microsoft.com/office/drawing/2014/main" id="{E23C9AAD-AABE-4A8E-85DA-775204C0E6F3}"/>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twoCellAnchor>
    <xdr:from>
      <xdr:col>0</xdr:col>
      <xdr:colOff>0</xdr:colOff>
      <xdr:row>1</xdr:row>
      <xdr:rowOff>190499</xdr:rowOff>
    </xdr:from>
    <xdr:to>
      <xdr:col>0</xdr:col>
      <xdr:colOff>0</xdr:colOff>
      <xdr:row>7</xdr:row>
      <xdr:rowOff>38100</xdr:rowOff>
    </xdr:to>
    <xdr:grpSp>
      <xdr:nvGrpSpPr>
        <xdr:cNvPr id="5" name="Group 4">
          <a:extLst>
            <a:ext uri="{FF2B5EF4-FFF2-40B4-BE49-F238E27FC236}">
              <a16:creationId xmlns:a16="http://schemas.microsoft.com/office/drawing/2014/main" id="{1FBF7282-81AC-4F8C-BB07-EB2C1F3384C7}"/>
            </a:ext>
          </a:extLst>
        </xdr:cNvPr>
        <xdr:cNvGrpSpPr/>
      </xdr:nvGrpSpPr>
      <xdr:grpSpPr>
        <a:xfrm>
          <a:off x="0" y="380999"/>
          <a:ext cx="0" cy="990601"/>
          <a:chOff x="12153900" y="2990850"/>
          <a:chExt cx="2861257" cy="1875740"/>
        </a:xfrm>
      </xdr:grpSpPr>
      <xdr:pic>
        <xdr:nvPicPr>
          <xdr:cNvPr id="6" name="Picture 5">
            <a:extLst>
              <a:ext uri="{FF2B5EF4-FFF2-40B4-BE49-F238E27FC236}">
                <a16:creationId xmlns:a16="http://schemas.microsoft.com/office/drawing/2014/main" id="{B034F641-6542-4900-BEBD-B9AB1BDBDC47}"/>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7" name="Picture 6">
            <a:extLst>
              <a:ext uri="{FF2B5EF4-FFF2-40B4-BE49-F238E27FC236}">
                <a16:creationId xmlns:a16="http://schemas.microsoft.com/office/drawing/2014/main" id="{3574A837-A69C-4395-A56B-8D0BC1A635D7}"/>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oneCellAnchor>
    <xdr:from>
      <xdr:col>55</xdr:col>
      <xdr:colOff>388198</xdr:colOff>
      <xdr:row>1</xdr:row>
      <xdr:rowOff>9524</xdr:rowOff>
    </xdr:from>
    <xdr:ext cx="1309333" cy="593304"/>
    <xdr:sp macro="" textlink="">
      <xdr:nvSpPr>
        <xdr:cNvPr id="8" name="Rectangle 7">
          <a:extLst>
            <a:ext uri="{FF2B5EF4-FFF2-40B4-BE49-F238E27FC236}">
              <a16:creationId xmlns:a16="http://schemas.microsoft.com/office/drawing/2014/main" id="{74E4CBEB-F8FD-4C5E-981D-A4A6B6DFB18C}"/>
            </a:ext>
          </a:extLst>
        </xdr:cNvPr>
        <xdr:cNvSpPr/>
      </xdr:nvSpPr>
      <xdr:spPr>
        <a:xfrm>
          <a:off x="63662773" y="200024"/>
          <a:ext cx="1309333" cy="593304"/>
        </a:xfrm>
        <a:prstGeom prst="rect">
          <a:avLst/>
        </a:prstGeom>
        <a:noFill/>
      </xdr:spPr>
      <xdr:txBody>
        <a:bodyPr wrap="none" lIns="91440" tIns="45720" rIns="91440" bIns="45720">
          <a:spAutoFit/>
        </a:bodyPr>
        <a:lstStyle/>
        <a:p>
          <a:pPr algn="ctr"/>
          <a:r>
            <a:rPr lang="en-US" sz="32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clientData/>
  </xdr:oneCellAnchor>
  <xdr:twoCellAnchor>
    <xdr:from>
      <xdr:col>0</xdr:col>
      <xdr:colOff>0</xdr:colOff>
      <xdr:row>29</xdr:row>
      <xdr:rowOff>0</xdr:rowOff>
    </xdr:from>
    <xdr:to>
      <xdr:col>0</xdr:col>
      <xdr:colOff>0</xdr:colOff>
      <xdr:row>34</xdr:row>
      <xdr:rowOff>118102</xdr:rowOff>
    </xdr:to>
    <xdr:grpSp>
      <xdr:nvGrpSpPr>
        <xdr:cNvPr id="9" name="Group 8">
          <a:extLst>
            <a:ext uri="{FF2B5EF4-FFF2-40B4-BE49-F238E27FC236}">
              <a16:creationId xmlns:a16="http://schemas.microsoft.com/office/drawing/2014/main" id="{703331AC-CD71-42B6-B18E-25A04129AF15}"/>
            </a:ext>
          </a:extLst>
        </xdr:cNvPr>
        <xdr:cNvGrpSpPr/>
      </xdr:nvGrpSpPr>
      <xdr:grpSpPr>
        <a:xfrm>
          <a:off x="0" y="5524500"/>
          <a:ext cx="0" cy="1070602"/>
          <a:chOff x="8572500" y="3876675"/>
          <a:chExt cx="5882031" cy="2861302"/>
        </a:xfrm>
      </xdr:grpSpPr>
      <xdr:pic>
        <xdr:nvPicPr>
          <xdr:cNvPr id="10" name="Picture 9">
            <a:extLst>
              <a:ext uri="{FF2B5EF4-FFF2-40B4-BE49-F238E27FC236}">
                <a16:creationId xmlns:a16="http://schemas.microsoft.com/office/drawing/2014/main" id="{26AA9054-4058-4E43-ABD2-E0EFF7785372}"/>
              </a:ext>
            </a:extLst>
          </xdr:cNvPr>
          <xdr:cNvPicPr>
            <a:picLocks noChangeAspect="1"/>
          </xdr:cNvPicPr>
        </xdr:nvPicPr>
        <xdr:blipFill>
          <a:blip xmlns:r="http://schemas.openxmlformats.org/officeDocument/2006/relationships" r:embed="rId3"/>
          <a:stretch>
            <a:fillRect/>
          </a:stretch>
        </xdr:blipFill>
        <xdr:spPr>
          <a:xfrm>
            <a:off x="8572500" y="3876675"/>
            <a:ext cx="5882031" cy="2861302"/>
          </a:xfrm>
          <a:prstGeom prst="rect">
            <a:avLst/>
          </a:prstGeom>
        </xdr:spPr>
      </xdr:pic>
      <xdr:pic>
        <xdr:nvPicPr>
          <xdr:cNvPr id="11" name="Picture 10">
            <a:extLst>
              <a:ext uri="{FF2B5EF4-FFF2-40B4-BE49-F238E27FC236}">
                <a16:creationId xmlns:a16="http://schemas.microsoft.com/office/drawing/2014/main" id="{7422FD82-623B-478D-9D26-C994A3CA2AED}"/>
              </a:ext>
            </a:extLst>
          </xdr:cNvPr>
          <xdr:cNvPicPr>
            <a:picLocks noChangeAspect="1"/>
          </xdr:cNvPicPr>
        </xdr:nvPicPr>
        <xdr:blipFill>
          <a:blip xmlns:r="http://schemas.openxmlformats.org/officeDocument/2006/relationships" r:embed="rId4"/>
          <a:stretch>
            <a:fillRect/>
          </a:stretch>
        </xdr:blipFill>
        <xdr:spPr>
          <a:xfrm>
            <a:off x="11582400" y="4730026"/>
            <a:ext cx="537973" cy="1051495"/>
          </a:xfrm>
          <a:prstGeom prst="rect">
            <a:avLst/>
          </a:prstGeom>
        </xdr:spPr>
      </xdr:pic>
    </xdr:grpSp>
    <xdr:clientData/>
  </xdr:twoCellAnchor>
  <xdr:twoCellAnchor editAs="oneCell">
    <xdr:from>
      <xdr:col>56</xdr:col>
      <xdr:colOff>0</xdr:colOff>
      <xdr:row>17</xdr:row>
      <xdr:rowOff>0</xdr:rowOff>
    </xdr:from>
    <xdr:to>
      <xdr:col>56</xdr:col>
      <xdr:colOff>304800</xdr:colOff>
      <xdr:row>18</xdr:row>
      <xdr:rowOff>114300</xdr:rowOff>
    </xdr:to>
    <xdr:sp macro="" textlink="">
      <xdr:nvSpPr>
        <xdr:cNvPr id="12" name="AutoShape 3" descr="Transparent Background Calculator Clipart">
          <a:extLst>
            <a:ext uri="{FF2B5EF4-FFF2-40B4-BE49-F238E27FC236}">
              <a16:creationId xmlns:a16="http://schemas.microsoft.com/office/drawing/2014/main" id="{1075A249-70D3-4653-B2F3-EE0A60899E1D}"/>
            </a:ext>
          </a:extLst>
        </xdr:cNvPr>
        <xdr:cNvSpPr>
          <a:spLocks noChangeAspect="1" noChangeArrowheads="1"/>
        </xdr:cNvSpPr>
      </xdr:nvSpPr>
      <xdr:spPr bwMode="auto">
        <a:xfrm>
          <a:off x="638841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54</xdr:col>
      <xdr:colOff>466724</xdr:colOff>
      <xdr:row>2</xdr:row>
      <xdr:rowOff>152400</xdr:rowOff>
    </xdr:from>
    <xdr:to>
      <xdr:col>58</xdr:col>
      <xdr:colOff>428624</xdr:colOff>
      <xdr:row>15</xdr:row>
      <xdr:rowOff>76200</xdr:rowOff>
    </xdr:to>
    <xdr:pic>
      <xdr:nvPicPr>
        <xdr:cNvPr id="13" name="Picture 12" descr="Transparent Background Calculator Clipart">
          <a:extLst>
            <a:ext uri="{FF2B5EF4-FFF2-40B4-BE49-F238E27FC236}">
              <a16:creationId xmlns:a16="http://schemas.microsoft.com/office/drawing/2014/main" id="{322E2CEE-7A2C-44F8-A6A8-8780D5AFE48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131699" y="533400"/>
          <a:ext cx="24003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565150</xdr:colOff>
      <xdr:row>20</xdr:row>
      <xdr:rowOff>155575</xdr:rowOff>
    </xdr:from>
    <xdr:to>
      <xdr:col>51</xdr:col>
      <xdr:colOff>1552745</xdr:colOff>
      <xdr:row>26</xdr:row>
      <xdr:rowOff>59640</xdr:rowOff>
    </xdr:to>
    <xdr:pic>
      <xdr:nvPicPr>
        <xdr:cNvPr id="14" name="Picture 13">
          <a:extLst>
            <a:ext uri="{FF2B5EF4-FFF2-40B4-BE49-F238E27FC236}">
              <a16:creationId xmlns:a16="http://schemas.microsoft.com/office/drawing/2014/main" id="{AF222CB9-7301-4293-BBD0-5AC5FC4AB093}"/>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57172225" y="3965575"/>
          <a:ext cx="1597195" cy="1047065"/>
        </a:xfrm>
        <a:prstGeom prst="rect">
          <a:avLst/>
        </a:prstGeom>
      </xdr:spPr>
    </xdr:pic>
    <xdr:clientData/>
  </xdr:twoCellAnchor>
  <xdr:twoCellAnchor>
    <xdr:from>
      <xdr:col>52</xdr:col>
      <xdr:colOff>349252</xdr:colOff>
      <xdr:row>20</xdr:row>
      <xdr:rowOff>123826</xdr:rowOff>
    </xdr:from>
    <xdr:to>
      <xdr:col>53</xdr:col>
      <xdr:colOff>306388</xdr:colOff>
      <xdr:row>25</xdr:row>
      <xdr:rowOff>187327</xdr:rowOff>
    </xdr:to>
    <xdr:grpSp>
      <xdr:nvGrpSpPr>
        <xdr:cNvPr id="15" name="Group 14">
          <a:extLst>
            <a:ext uri="{FF2B5EF4-FFF2-40B4-BE49-F238E27FC236}">
              <a16:creationId xmlns:a16="http://schemas.microsoft.com/office/drawing/2014/main" id="{35E221C0-534B-43E0-A3B8-C0B126B4263D}"/>
            </a:ext>
          </a:extLst>
        </xdr:cNvPr>
        <xdr:cNvGrpSpPr/>
      </xdr:nvGrpSpPr>
      <xdr:grpSpPr>
        <a:xfrm>
          <a:off x="60232927" y="3937001"/>
          <a:ext cx="2031318" cy="1012826"/>
          <a:chOff x="60683775" y="2828925"/>
          <a:chExt cx="2308426" cy="1122929"/>
        </a:xfrm>
      </xdr:grpSpPr>
      <xdr:pic>
        <xdr:nvPicPr>
          <xdr:cNvPr id="16" name="Picture 15">
            <a:extLst>
              <a:ext uri="{FF2B5EF4-FFF2-40B4-BE49-F238E27FC236}">
                <a16:creationId xmlns:a16="http://schemas.microsoft.com/office/drawing/2014/main" id="{BB5DE1D6-0A2F-4F19-99DB-07E853536D4C}"/>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17" name="Picture 16">
            <a:extLst>
              <a:ext uri="{FF2B5EF4-FFF2-40B4-BE49-F238E27FC236}">
                <a16:creationId xmlns:a16="http://schemas.microsoft.com/office/drawing/2014/main" id="{54E7E9C5-F42E-4FE5-87A5-AA1481093D5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xdr:from>
      <xdr:col>51</xdr:col>
      <xdr:colOff>1897062</xdr:colOff>
      <xdr:row>23</xdr:row>
      <xdr:rowOff>30163</xdr:rowOff>
    </xdr:from>
    <xdr:to>
      <xdr:col>51</xdr:col>
      <xdr:colOff>2573337</xdr:colOff>
      <xdr:row>24</xdr:row>
      <xdr:rowOff>30163</xdr:rowOff>
    </xdr:to>
    <xdr:sp macro="" textlink="">
      <xdr:nvSpPr>
        <xdr:cNvPr id="18" name="Arrow: Right 17">
          <a:extLst>
            <a:ext uri="{FF2B5EF4-FFF2-40B4-BE49-F238E27FC236}">
              <a16:creationId xmlns:a16="http://schemas.microsoft.com/office/drawing/2014/main" id="{98B9DC32-9C86-4C2C-B557-F727A4F4FAE3}"/>
            </a:ext>
          </a:extLst>
        </xdr:cNvPr>
        <xdr:cNvSpPr/>
      </xdr:nvSpPr>
      <xdr:spPr>
        <a:xfrm>
          <a:off x="59113737" y="4411663"/>
          <a:ext cx="67627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174625</xdr:colOff>
      <xdr:row>11</xdr:row>
      <xdr:rowOff>111125</xdr:rowOff>
    </xdr:from>
    <xdr:to>
      <xdr:col>51</xdr:col>
      <xdr:colOff>1698625</xdr:colOff>
      <xdr:row>15</xdr:row>
      <xdr:rowOff>141606</xdr:rowOff>
    </xdr:to>
    <xdr:pic>
      <xdr:nvPicPr>
        <xdr:cNvPr id="19" name="Picture 18" descr="SP Energy Networks | LinkedIn">
          <a:extLst>
            <a:ext uri="{FF2B5EF4-FFF2-40B4-BE49-F238E27FC236}">
              <a16:creationId xmlns:a16="http://schemas.microsoft.com/office/drawing/2014/main" id="{17027B18-7ED7-460F-B277-846F42F810F3}"/>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2500" b="25500"/>
        <a:stretch/>
      </xdr:blipFill>
      <xdr:spPr bwMode="auto">
        <a:xfrm>
          <a:off x="57391300" y="2206625"/>
          <a:ext cx="1524000" cy="792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301625</xdr:colOff>
      <xdr:row>15</xdr:row>
      <xdr:rowOff>15873</xdr:rowOff>
    </xdr:from>
    <xdr:to>
      <xdr:col>58</xdr:col>
      <xdr:colOff>55562</xdr:colOff>
      <xdr:row>21</xdr:row>
      <xdr:rowOff>131533</xdr:rowOff>
    </xdr:to>
    <xdr:pic>
      <xdr:nvPicPr>
        <xdr:cNvPr id="20" name="Picture 19">
          <a:extLst>
            <a:ext uri="{FF2B5EF4-FFF2-40B4-BE49-F238E27FC236}">
              <a16:creationId xmlns:a16="http://schemas.microsoft.com/office/drawing/2014/main" id="{4692046C-B44A-4462-9FF7-9988673023E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6200" y="2873373"/>
          <a:ext cx="1582737" cy="1258660"/>
        </a:xfrm>
        <a:prstGeom prst="rect">
          <a:avLst/>
        </a:prstGeom>
        <a:noFill/>
        <a:ln>
          <a:noFill/>
        </a:ln>
      </xdr:spPr>
    </xdr:pic>
    <xdr:clientData/>
  </xdr:twoCellAnchor>
  <xdr:twoCellAnchor>
    <xdr:from>
      <xdr:col>50</xdr:col>
      <xdr:colOff>523875</xdr:colOff>
      <xdr:row>26</xdr:row>
      <xdr:rowOff>171450</xdr:rowOff>
    </xdr:from>
    <xdr:to>
      <xdr:col>59</xdr:col>
      <xdr:colOff>445611</xdr:colOff>
      <xdr:row>29</xdr:row>
      <xdr:rowOff>61615</xdr:rowOff>
    </xdr:to>
    <xdr:grpSp>
      <xdr:nvGrpSpPr>
        <xdr:cNvPr id="21" name="Group 20">
          <a:extLst>
            <a:ext uri="{FF2B5EF4-FFF2-40B4-BE49-F238E27FC236}">
              <a16:creationId xmlns:a16="http://schemas.microsoft.com/office/drawing/2014/main" id="{68751DBB-C175-4B54-A67B-5C49241B12A6}"/>
            </a:ext>
          </a:extLst>
        </xdr:cNvPr>
        <xdr:cNvGrpSpPr/>
      </xdr:nvGrpSpPr>
      <xdr:grpSpPr>
        <a:xfrm>
          <a:off x="57096479" y="5124450"/>
          <a:ext cx="9020378" cy="461665"/>
          <a:chOff x="501353" y="1993652"/>
          <a:chExt cx="9065736" cy="461665"/>
        </a:xfrm>
      </xdr:grpSpPr>
      <xdr:pic>
        <xdr:nvPicPr>
          <xdr:cNvPr id="22" name="Picture 21">
            <a:extLst>
              <a:ext uri="{FF2B5EF4-FFF2-40B4-BE49-F238E27FC236}">
                <a16:creationId xmlns:a16="http://schemas.microsoft.com/office/drawing/2014/main" id="{BFFE9BB9-EF2A-48DF-ACA3-F2BD3E8C775F}"/>
              </a:ext>
            </a:extLst>
          </xdr:cNvPr>
          <xdr:cNvPicPr>
            <a:picLocks noChangeAspect="1"/>
          </xdr:cNvPicPr>
        </xdr:nvPicPr>
        <xdr:blipFill rotWithShape="1">
          <a:blip xmlns:r="http://schemas.openxmlformats.org/officeDocument/2006/relationships" r:embed="rId9"/>
          <a:srcRect t="-1" r="29452" b="-10230"/>
          <a:stretch/>
        </xdr:blipFill>
        <xdr:spPr>
          <a:xfrm>
            <a:off x="501353" y="2204864"/>
            <a:ext cx="6323855" cy="250453"/>
          </a:xfrm>
          <a:prstGeom prst="rect">
            <a:avLst/>
          </a:prstGeom>
        </xdr:spPr>
      </xdr:pic>
      <xdr:pic>
        <xdr:nvPicPr>
          <xdr:cNvPr id="23" name="Picture 22">
            <a:extLst>
              <a:ext uri="{FF2B5EF4-FFF2-40B4-BE49-F238E27FC236}">
                <a16:creationId xmlns:a16="http://schemas.microsoft.com/office/drawing/2014/main" id="{16FA608B-2087-46FE-AA5F-67B155608392}"/>
              </a:ext>
            </a:extLst>
          </xdr:cNvPr>
          <xdr:cNvPicPr>
            <a:picLocks noChangeAspect="1"/>
          </xdr:cNvPicPr>
        </xdr:nvPicPr>
        <xdr:blipFill rotWithShape="1">
          <a:blip xmlns:r="http://schemas.openxmlformats.org/officeDocument/2006/relationships" r:embed="rId9"/>
          <a:srcRect l="70691" t="5811"/>
          <a:stretch/>
        </xdr:blipFill>
        <xdr:spPr>
          <a:xfrm>
            <a:off x="6939793" y="2203748"/>
            <a:ext cx="2627296" cy="214005"/>
          </a:xfrm>
          <a:prstGeom prst="rect">
            <a:avLst/>
          </a:prstGeom>
        </xdr:spPr>
      </xdr:pic>
      <xdr:sp macro="" textlink="">
        <xdr:nvSpPr>
          <xdr:cNvPr id="24" name="Rectangle 23">
            <a:extLst>
              <a:ext uri="{FF2B5EF4-FFF2-40B4-BE49-F238E27FC236}">
                <a16:creationId xmlns:a16="http://schemas.microsoft.com/office/drawing/2014/main" id="{9D5B5BE2-322B-4C4E-89D7-A172710D0E8C}"/>
              </a:ext>
            </a:extLst>
          </xdr:cNvPr>
          <xdr:cNvSpPr/>
        </xdr:nvSpPr>
        <xdr:spPr>
          <a:xfrm>
            <a:off x="6738872" y="1993652"/>
            <a:ext cx="287258" cy="461665"/>
          </a:xfrm>
          <a:prstGeom prst="rect">
            <a:avLst/>
          </a:prstGeom>
        </xdr:spPr>
        <xdr:txBody>
          <a:bodyPr wrap="square">
            <a:spAutoFit/>
          </a:bodyPr>
          <a:lstStyle>
            <a:defPPr>
              <a:defRPr lang="es-ES_tradnl"/>
            </a:defPPr>
            <a:lvl1pPr algn="l" rtl="0" fontAlgn="base">
              <a:spcBef>
                <a:spcPct val="0"/>
              </a:spcBef>
              <a:spcAft>
                <a:spcPct val="0"/>
              </a:spcAft>
              <a:defRPr sz="2800" kern="1200">
                <a:solidFill>
                  <a:srgbClr val="447D1B"/>
                </a:solidFill>
                <a:latin typeface="Arial" pitchFamily="34" charset="0"/>
                <a:ea typeface="+mn-ea"/>
                <a:cs typeface="+mn-cs"/>
              </a:defRPr>
            </a:lvl1pPr>
            <a:lvl2pPr marL="457097" algn="l" rtl="0" fontAlgn="base">
              <a:spcBef>
                <a:spcPct val="0"/>
              </a:spcBef>
              <a:spcAft>
                <a:spcPct val="0"/>
              </a:spcAft>
              <a:defRPr sz="2800" kern="1200">
                <a:solidFill>
                  <a:srgbClr val="447D1B"/>
                </a:solidFill>
                <a:latin typeface="Arial" pitchFamily="34" charset="0"/>
                <a:ea typeface="+mn-ea"/>
                <a:cs typeface="+mn-cs"/>
              </a:defRPr>
            </a:lvl2pPr>
            <a:lvl3pPr marL="914192" algn="l" rtl="0" fontAlgn="base">
              <a:spcBef>
                <a:spcPct val="0"/>
              </a:spcBef>
              <a:spcAft>
                <a:spcPct val="0"/>
              </a:spcAft>
              <a:defRPr sz="2800" kern="1200">
                <a:solidFill>
                  <a:srgbClr val="447D1B"/>
                </a:solidFill>
                <a:latin typeface="Arial" pitchFamily="34" charset="0"/>
                <a:ea typeface="+mn-ea"/>
                <a:cs typeface="+mn-cs"/>
              </a:defRPr>
            </a:lvl3pPr>
            <a:lvl4pPr marL="1371289" algn="l" rtl="0" fontAlgn="base">
              <a:spcBef>
                <a:spcPct val="0"/>
              </a:spcBef>
              <a:spcAft>
                <a:spcPct val="0"/>
              </a:spcAft>
              <a:defRPr sz="2800" kern="1200">
                <a:solidFill>
                  <a:srgbClr val="447D1B"/>
                </a:solidFill>
                <a:latin typeface="Arial" pitchFamily="34" charset="0"/>
                <a:ea typeface="+mn-ea"/>
                <a:cs typeface="+mn-cs"/>
              </a:defRPr>
            </a:lvl4pPr>
            <a:lvl5pPr marL="1828384" algn="l" rtl="0" fontAlgn="base">
              <a:spcBef>
                <a:spcPct val="0"/>
              </a:spcBef>
              <a:spcAft>
                <a:spcPct val="0"/>
              </a:spcAft>
              <a:defRPr sz="2800" kern="1200">
                <a:solidFill>
                  <a:srgbClr val="447D1B"/>
                </a:solidFill>
                <a:latin typeface="Arial" pitchFamily="34" charset="0"/>
                <a:ea typeface="+mn-ea"/>
                <a:cs typeface="+mn-cs"/>
              </a:defRPr>
            </a:lvl5pPr>
            <a:lvl6pPr marL="2285480" algn="l" defTabSz="914192" rtl="0" eaLnBrk="1" latinLnBrk="0" hangingPunct="1">
              <a:defRPr sz="2800" kern="1200">
                <a:solidFill>
                  <a:srgbClr val="447D1B"/>
                </a:solidFill>
                <a:latin typeface="Arial" pitchFamily="34" charset="0"/>
                <a:ea typeface="+mn-ea"/>
                <a:cs typeface="+mn-cs"/>
              </a:defRPr>
            </a:lvl6pPr>
            <a:lvl7pPr marL="2742576" algn="l" defTabSz="914192" rtl="0" eaLnBrk="1" latinLnBrk="0" hangingPunct="1">
              <a:defRPr sz="2800" kern="1200">
                <a:solidFill>
                  <a:srgbClr val="447D1B"/>
                </a:solidFill>
                <a:latin typeface="Arial" pitchFamily="34" charset="0"/>
                <a:ea typeface="+mn-ea"/>
                <a:cs typeface="+mn-cs"/>
              </a:defRPr>
            </a:lvl7pPr>
            <a:lvl8pPr marL="3199672" algn="l" defTabSz="914192" rtl="0" eaLnBrk="1" latinLnBrk="0" hangingPunct="1">
              <a:defRPr sz="2800" kern="1200">
                <a:solidFill>
                  <a:srgbClr val="447D1B"/>
                </a:solidFill>
                <a:latin typeface="Arial" pitchFamily="34" charset="0"/>
                <a:ea typeface="+mn-ea"/>
                <a:cs typeface="+mn-cs"/>
              </a:defRPr>
            </a:lvl8pPr>
            <a:lvl9pPr marL="3656768" algn="l" defTabSz="914192" rtl="0" eaLnBrk="1" latinLnBrk="0" hangingPunct="1">
              <a:defRPr sz="2800" kern="1200">
                <a:solidFill>
                  <a:srgbClr val="447D1B"/>
                </a:solidFill>
                <a:latin typeface="Arial" pitchFamily="34" charset="0"/>
                <a:ea typeface="+mn-ea"/>
                <a:cs typeface="+mn-cs"/>
              </a:defRPr>
            </a:lvl9pPr>
          </a:lstStyle>
          <a:p>
            <a:r>
              <a:rPr lang="en-GB" sz="2400">
                <a:solidFill>
                  <a:schemeClr val="accent4">
                    <a:lumMod val="10000"/>
                  </a:schemeClr>
                </a:solidFill>
              </a:rPr>
              <a:t>-</a:t>
            </a:r>
          </a:p>
        </xdr:txBody>
      </xdr:sp>
    </xdr:grpSp>
    <xdr:clientData/>
  </xdr:twoCellAnchor>
  <xdr:twoCellAnchor editAs="oneCell">
    <xdr:from>
      <xdr:col>59</xdr:col>
      <xdr:colOff>76200</xdr:colOff>
      <xdr:row>2</xdr:row>
      <xdr:rowOff>152400</xdr:rowOff>
    </xdr:from>
    <xdr:to>
      <xdr:col>65</xdr:col>
      <xdr:colOff>554580</xdr:colOff>
      <xdr:row>19</xdr:row>
      <xdr:rowOff>18516</xdr:rowOff>
    </xdr:to>
    <xdr:pic>
      <xdr:nvPicPr>
        <xdr:cNvPr id="25" name="Picture 24">
          <a:extLst>
            <a:ext uri="{FF2B5EF4-FFF2-40B4-BE49-F238E27FC236}">
              <a16:creationId xmlns:a16="http://schemas.microsoft.com/office/drawing/2014/main" id="{F7719980-53B7-41FB-A2D5-B5F18A23BDAA}"/>
            </a:ext>
          </a:extLst>
        </xdr:cNvPr>
        <xdr:cNvPicPr>
          <a:picLocks noChangeAspect="1"/>
        </xdr:cNvPicPr>
      </xdr:nvPicPr>
      <xdr:blipFill>
        <a:blip xmlns:r="http://schemas.openxmlformats.org/officeDocument/2006/relationships" r:embed="rId10"/>
        <a:stretch>
          <a:fillRect/>
        </a:stretch>
      </xdr:blipFill>
      <xdr:spPr>
        <a:xfrm>
          <a:off x="65789175" y="533400"/>
          <a:ext cx="4135980" cy="3104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18</xdr:row>
      <xdr:rowOff>27889</xdr:rowOff>
    </xdr:to>
    <xdr:grpSp>
      <xdr:nvGrpSpPr>
        <xdr:cNvPr id="2" name="Group 1">
          <a:extLst>
            <a:ext uri="{FF2B5EF4-FFF2-40B4-BE49-F238E27FC236}">
              <a16:creationId xmlns:a16="http://schemas.microsoft.com/office/drawing/2014/main" id="{892A8223-3C85-4B83-BB8A-346C603F0476}"/>
            </a:ext>
          </a:extLst>
        </xdr:cNvPr>
        <xdr:cNvGrpSpPr/>
      </xdr:nvGrpSpPr>
      <xdr:grpSpPr>
        <a:xfrm>
          <a:off x="0" y="2295525"/>
          <a:ext cx="0" cy="1161364"/>
          <a:chOff x="12153900" y="2990850"/>
          <a:chExt cx="2861257" cy="1875740"/>
        </a:xfrm>
      </xdr:grpSpPr>
      <xdr:pic>
        <xdr:nvPicPr>
          <xdr:cNvPr id="3" name="Picture 2">
            <a:extLst>
              <a:ext uri="{FF2B5EF4-FFF2-40B4-BE49-F238E27FC236}">
                <a16:creationId xmlns:a16="http://schemas.microsoft.com/office/drawing/2014/main" id="{7BCDE817-D469-46AB-8483-6298C92824DC}"/>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4" name="Picture 3">
            <a:extLst>
              <a:ext uri="{FF2B5EF4-FFF2-40B4-BE49-F238E27FC236}">
                <a16:creationId xmlns:a16="http://schemas.microsoft.com/office/drawing/2014/main" id="{1CCF160D-6A6F-4010-8667-CB17AEC860FB}"/>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twoCellAnchor>
    <xdr:from>
      <xdr:col>0</xdr:col>
      <xdr:colOff>0</xdr:colOff>
      <xdr:row>1</xdr:row>
      <xdr:rowOff>190499</xdr:rowOff>
    </xdr:from>
    <xdr:to>
      <xdr:col>0</xdr:col>
      <xdr:colOff>0</xdr:colOff>
      <xdr:row>7</xdr:row>
      <xdr:rowOff>38100</xdr:rowOff>
    </xdr:to>
    <xdr:grpSp>
      <xdr:nvGrpSpPr>
        <xdr:cNvPr id="5" name="Group 4">
          <a:extLst>
            <a:ext uri="{FF2B5EF4-FFF2-40B4-BE49-F238E27FC236}">
              <a16:creationId xmlns:a16="http://schemas.microsoft.com/office/drawing/2014/main" id="{0C0CE86E-0BE0-4550-B187-B8022DB6F697}"/>
            </a:ext>
          </a:extLst>
        </xdr:cNvPr>
        <xdr:cNvGrpSpPr/>
      </xdr:nvGrpSpPr>
      <xdr:grpSpPr>
        <a:xfrm>
          <a:off x="0" y="380999"/>
          <a:ext cx="0" cy="990601"/>
          <a:chOff x="12153900" y="2990850"/>
          <a:chExt cx="2861257" cy="1875740"/>
        </a:xfrm>
      </xdr:grpSpPr>
      <xdr:pic>
        <xdr:nvPicPr>
          <xdr:cNvPr id="6" name="Picture 5">
            <a:extLst>
              <a:ext uri="{FF2B5EF4-FFF2-40B4-BE49-F238E27FC236}">
                <a16:creationId xmlns:a16="http://schemas.microsoft.com/office/drawing/2014/main" id="{DA45D02E-C096-4FA0-A061-292DDFEA885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7" name="Picture 6">
            <a:extLst>
              <a:ext uri="{FF2B5EF4-FFF2-40B4-BE49-F238E27FC236}">
                <a16:creationId xmlns:a16="http://schemas.microsoft.com/office/drawing/2014/main" id="{8A51546B-E6CF-4BD4-86FC-C277383CC679}"/>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oneCellAnchor>
    <xdr:from>
      <xdr:col>55</xdr:col>
      <xdr:colOff>388198</xdr:colOff>
      <xdr:row>1</xdr:row>
      <xdr:rowOff>9524</xdr:rowOff>
    </xdr:from>
    <xdr:ext cx="1309333" cy="593304"/>
    <xdr:sp macro="" textlink="">
      <xdr:nvSpPr>
        <xdr:cNvPr id="8" name="Rectangle 7">
          <a:extLst>
            <a:ext uri="{FF2B5EF4-FFF2-40B4-BE49-F238E27FC236}">
              <a16:creationId xmlns:a16="http://schemas.microsoft.com/office/drawing/2014/main" id="{71AF5E5B-344D-47B6-BE06-2C374AF03585}"/>
            </a:ext>
          </a:extLst>
        </xdr:cNvPr>
        <xdr:cNvSpPr/>
      </xdr:nvSpPr>
      <xdr:spPr>
        <a:xfrm>
          <a:off x="63662773" y="200024"/>
          <a:ext cx="1309333" cy="593304"/>
        </a:xfrm>
        <a:prstGeom prst="rect">
          <a:avLst/>
        </a:prstGeom>
        <a:noFill/>
      </xdr:spPr>
      <xdr:txBody>
        <a:bodyPr wrap="none" lIns="91440" tIns="45720" rIns="91440" bIns="45720">
          <a:spAutoFit/>
        </a:bodyPr>
        <a:lstStyle/>
        <a:p>
          <a:pPr algn="ctr"/>
          <a:r>
            <a:rPr lang="en-US" sz="32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clientData/>
  </xdr:oneCellAnchor>
  <xdr:twoCellAnchor>
    <xdr:from>
      <xdr:col>0</xdr:col>
      <xdr:colOff>0</xdr:colOff>
      <xdr:row>29</xdr:row>
      <xdr:rowOff>0</xdr:rowOff>
    </xdr:from>
    <xdr:to>
      <xdr:col>0</xdr:col>
      <xdr:colOff>0</xdr:colOff>
      <xdr:row>34</xdr:row>
      <xdr:rowOff>118102</xdr:rowOff>
    </xdr:to>
    <xdr:grpSp>
      <xdr:nvGrpSpPr>
        <xdr:cNvPr id="9" name="Group 8">
          <a:extLst>
            <a:ext uri="{FF2B5EF4-FFF2-40B4-BE49-F238E27FC236}">
              <a16:creationId xmlns:a16="http://schemas.microsoft.com/office/drawing/2014/main" id="{2A2216CF-143C-45AD-A3B2-BD46B167EB06}"/>
            </a:ext>
          </a:extLst>
        </xdr:cNvPr>
        <xdr:cNvGrpSpPr/>
      </xdr:nvGrpSpPr>
      <xdr:grpSpPr>
        <a:xfrm>
          <a:off x="0" y="5524500"/>
          <a:ext cx="0" cy="1070602"/>
          <a:chOff x="8572500" y="3876675"/>
          <a:chExt cx="5882031" cy="2861302"/>
        </a:xfrm>
      </xdr:grpSpPr>
      <xdr:pic>
        <xdr:nvPicPr>
          <xdr:cNvPr id="10" name="Picture 9">
            <a:extLst>
              <a:ext uri="{FF2B5EF4-FFF2-40B4-BE49-F238E27FC236}">
                <a16:creationId xmlns:a16="http://schemas.microsoft.com/office/drawing/2014/main" id="{D3D87B8B-3EF8-4DCF-9C48-D8D9AEA8751B}"/>
              </a:ext>
            </a:extLst>
          </xdr:cNvPr>
          <xdr:cNvPicPr>
            <a:picLocks noChangeAspect="1"/>
          </xdr:cNvPicPr>
        </xdr:nvPicPr>
        <xdr:blipFill>
          <a:blip xmlns:r="http://schemas.openxmlformats.org/officeDocument/2006/relationships" r:embed="rId3"/>
          <a:stretch>
            <a:fillRect/>
          </a:stretch>
        </xdr:blipFill>
        <xdr:spPr>
          <a:xfrm>
            <a:off x="8572500" y="3876675"/>
            <a:ext cx="5882031" cy="2861302"/>
          </a:xfrm>
          <a:prstGeom prst="rect">
            <a:avLst/>
          </a:prstGeom>
        </xdr:spPr>
      </xdr:pic>
      <xdr:pic>
        <xdr:nvPicPr>
          <xdr:cNvPr id="11" name="Picture 10">
            <a:extLst>
              <a:ext uri="{FF2B5EF4-FFF2-40B4-BE49-F238E27FC236}">
                <a16:creationId xmlns:a16="http://schemas.microsoft.com/office/drawing/2014/main" id="{3421E17F-6036-4012-B7AD-780408985BC0}"/>
              </a:ext>
            </a:extLst>
          </xdr:cNvPr>
          <xdr:cNvPicPr>
            <a:picLocks noChangeAspect="1"/>
          </xdr:cNvPicPr>
        </xdr:nvPicPr>
        <xdr:blipFill>
          <a:blip xmlns:r="http://schemas.openxmlformats.org/officeDocument/2006/relationships" r:embed="rId4"/>
          <a:stretch>
            <a:fillRect/>
          </a:stretch>
        </xdr:blipFill>
        <xdr:spPr>
          <a:xfrm>
            <a:off x="11582400" y="4730026"/>
            <a:ext cx="537973" cy="1051495"/>
          </a:xfrm>
          <a:prstGeom prst="rect">
            <a:avLst/>
          </a:prstGeom>
        </xdr:spPr>
      </xdr:pic>
    </xdr:grpSp>
    <xdr:clientData/>
  </xdr:twoCellAnchor>
  <xdr:twoCellAnchor editAs="oneCell">
    <xdr:from>
      <xdr:col>56</xdr:col>
      <xdr:colOff>0</xdr:colOff>
      <xdr:row>17</xdr:row>
      <xdr:rowOff>0</xdr:rowOff>
    </xdr:from>
    <xdr:to>
      <xdr:col>56</xdr:col>
      <xdr:colOff>304800</xdr:colOff>
      <xdr:row>18</xdr:row>
      <xdr:rowOff>114300</xdr:rowOff>
    </xdr:to>
    <xdr:sp macro="" textlink="">
      <xdr:nvSpPr>
        <xdr:cNvPr id="12" name="AutoShape 3" descr="Transparent Background Calculator Clipart">
          <a:extLst>
            <a:ext uri="{FF2B5EF4-FFF2-40B4-BE49-F238E27FC236}">
              <a16:creationId xmlns:a16="http://schemas.microsoft.com/office/drawing/2014/main" id="{4A119194-08AF-4491-BFB5-4D0891986047}"/>
            </a:ext>
          </a:extLst>
        </xdr:cNvPr>
        <xdr:cNvSpPr>
          <a:spLocks noChangeAspect="1" noChangeArrowheads="1"/>
        </xdr:cNvSpPr>
      </xdr:nvSpPr>
      <xdr:spPr bwMode="auto">
        <a:xfrm>
          <a:off x="638841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54</xdr:col>
      <xdr:colOff>466724</xdr:colOff>
      <xdr:row>2</xdr:row>
      <xdr:rowOff>152400</xdr:rowOff>
    </xdr:from>
    <xdr:to>
      <xdr:col>58</xdr:col>
      <xdr:colOff>428624</xdr:colOff>
      <xdr:row>15</xdr:row>
      <xdr:rowOff>76200</xdr:rowOff>
    </xdr:to>
    <xdr:pic>
      <xdr:nvPicPr>
        <xdr:cNvPr id="13" name="Picture 12" descr="Transparent Background Calculator Clipart">
          <a:extLst>
            <a:ext uri="{FF2B5EF4-FFF2-40B4-BE49-F238E27FC236}">
              <a16:creationId xmlns:a16="http://schemas.microsoft.com/office/drawing/2014/main" id="{4562782E-B142-4C90-B98A-D721C02CC3E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131699" y="533400"/>
          <a:ext cx="24003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565150</xdr:colOff>
      <xdr:row>20</xdr:row>
      <xdr:rowOff>155575</xdr:rowOff>
    </xdr:from>
    <xdr:to>
      <xdr:col>51</xdr:col>
      <xdr:colOff>1552745</xdr:colOff>
      <xdr:row>26</xdr:row>
      <xdr:rowOff>59640</xdr:rowOff>
    </xdr:to>
    <xdr:pic>
      <xdr:nvPicPr>
        <xdr:cNvPr id="14" name="Picture 13">
          <a:extLst>
            <a:ext uri="{FF2B5EF4-FFF2-40B4-BE49-F238E27FC236}">
              <a16:creationId xmlns:a16="http://schemas.microsoft.com/office/drawing/2014/main" id="{FA985FCD-F1FA-4D9C-8A49-C5A609DDEA1D}"/>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57172225" y="3965575"/>
          <a:ext cx="1597195" cy="1047065"/>
        </a:xfrm>
        <a:prstGeom prst="rect">
          <a:avLst/>
        </a:prstGeom>
      </xdr:spPr>
    </xdr:pic>
    <xdr:clientData/>
  </xdr:twoCellAnchor>
  <xdr:twoCellAnchor>
    <xdr:from>
      <xdr:col>52</xdr:col>
      <xdr:colOff>349252</xdr:colOff>
      <xdr:row>20</xdr:row>
      <xdr:rowOff>123826</xdr:rowOff>
    </xdr:from>
    <xdr:to>
      <xdr:col>53</xdr:col>
      <xdr:colOff>306388</xdr:colOff>
      <xdr:row>25</xdr:row>
      <xdr:rowOff>187327</xdr:rowOff>
    </xdr:to>
    <xdr:grpSp>
      <xdr:nvGrpSpPr>
        <xdr:cNvPr id="15" name="Group 14">
          <a:extLst>
            <a:ext uri="{FF2B5EF4-FFF2-40B4-BE49-F238E27FC236}">
              <a16:creationId xmlns:a16="http://schemas.microsoft.com/office/drawing/2014/main" id="{6FBE1609-6AEC-4B1D-BAF3-8FFA3515DC36}"/>
            </a:ext>
          </a:extLst>
        </xdr:cNvPr>
        <xdr:cNvGrpSpPr/>
      </xdr:nvGrpSpPr>
      <xdr:grpSpPr>
        <a:xfrm>
          <a:off x="60271027" y="3933826"/>
          <a:ext cx="2033586" cy="1016001"/>
          <a:chOff x="60683775" y="2828925"/>
          <a:chExt cx="2308426" cy="1122929"/>
        </a:xfrm>
      </xdr:grpSpPr>
      <xdr:pic>
        <xdr:nvPicPr>
          <xdr:cNvPr id="16" name="Picture 15">
            <a:extLst>
              <a:ext uri="{FF2B5EF4-FFF2-40B4-BE49-F238E27FC236}">
                <a16:creationId xmlns:a16="http://schemas.microsoft.com/office/drawing/2014/main" id="{E3CFD10A-8291-49FE-B29A-38D1ED6EDDCE}"/>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17" name="Picture 16">
            <a:extLst>
              <a:ext uri="{FF2B5EF4-FFF2-40B4-BE49-F238E27FC236}">
                <a16:creationId xmlns:a16="http://schemas.microsoft.com/office/drawing/2014/main" id="{01729ECA-2C80-4D9E-B92B-25823B56CC2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xdr:from>
      <xdr:col>51</xdr:col>
      <xdr:colOff>1897062</xdr:colOff>
      <xdr:row>23</xdr:row>
      <xdr:rowOff>30163</xdr:rowOff>
    </xdr:from>
    <xdr:to>
      <xdr:col>51</xdr:col>
      <xdr:colOff>2573337</xdr:colOff>
      <xdr:row>24</xdr:row>
      <xdr:rowOff>30163</xdr:rowOff>
    </xdr:to>
    <xdr:sp macro="" textlink="">
      <xdr:nvSpPr>
        <xdr:cNvPr id="18" name="Arrow: Right 17">
          <a:extLst>
            <a:ext uri="{FF2B5EF4-FFF2-40B4-BE49-F238E27FC236}">
              <a16:creationId xmlns:a16="http://schemas.microsoft.com/office/drawing/2014/main" id="{2192CE6F-BBFD-4241-8E27-1E050217BA51}"/>
            </a:ext>
          </a:extLst>
        </xdr:cNvPr>
        <xdr:cNvSpPr/>
      </xdr:nvSpPr>
      <xdr:spPr>
        <a:xfrm>
          <a:off x="59113737" y="4411663"/>
          <a:ext cx="67627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174625</xdr:colOff>
      <xdr:row>11</xdr:row>
      <xdr:rowOff>111125</xdr:rowOff>
    </xdr:from>
    <xdr:to>
      <xdr:col>51</xdr:col>
      <xdr:colOff>1698625</xdr:colOff>
      <xdr:row>15</xdr:row>
      <xdr:rowOff>141606</xdr:rowOff>
    </xdr:to>
    <xdr:pic>
      <xdr:nvPicPr>
        <xdr:cNvPr id="19" name="Picture 18" descr="SP Energy Networks | LinkedIn">
          <a:extLst>
            <a:ext uri="{FF2B5EF4-FFF2-40B4-BE49-F238E27FC236}">
              <a16:creationId xmlns:a16="http://schemas.microsoft.com/office/drawing/2014/main" id="{445C204B-E4FA-46A3-B09C-4A31780169A4}"/>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2500" b="25500"/>
        <a:stretch/>
      </xdr:blipFill>
      <xdr:spPr bwMode="auto">
        <a:xfrm>
          <a:off x="57391300" y="2206625"/>
          <a:ext cx="1524000" cy="792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301625</xdr:colOff>
      <xdr:row>15</xdr:row>
      <xdr:rowOff>15873</xdr:rowOff>
    </xdr:from>
    <xdr:to>
      <xdr:col>58</xdr:col>
      <xdr:colOff>55562</xdr:colOff>
      <xdr:row>21</xdr:row>
      <xdr:rowOff>131533</xdr:rowOff>
    </xdr:to>
    <xdr:pic>
      <xdr:nvPicPr>
        <xdr:cNvPr id="20" name="Picture 19">
          <a:extLst>
            <a:ext uri="{FF2B5EF4-FFF2-40B4-BE49-F238E27FC236}">
              <a16:creationId xmlns:a16="http://schemas.microsoft.com/office/drawing/2014/main" id="{440936C7-8983-4155-9A38-CE351124116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6200" y="2873373"/>
          <a:ext cx="1582737" cy="1258660"/>
        </a:xfrm>
        <a:prstGeom prst="rect">
          <a:avLst/>
        </a:prstGeom>
        <a:noFill/>
        <a:ln>
          <a:noFill/>
        </a:ln>
      </xdr:spPr>
    </xdr:pic>
    <xdr:clientData/>
  </xdr:twoCellAnchor>
  <xdr:twoCellAnchor>
    <xdr:from>
      <xdr:col>50</xdr:col>
      <xdr:colOff>523875</xdr:colOff>
      <xdr:row>26</xdr:row>
      <xdr:rowOff>171450</xdr:rowOff>
    </xdr:from>
    <xdr:to>
      <xdr:col>59</xdr:col>
      <xdr:colOff>445611</xdr:colOff>
      <xdr:row>29</xdr:row>
      <xdr:rowOff>61615</xdr:rowOff>
    </xdr:to>
    <xdr:grpSp>
      <xdr:nvGrpSpPr>
        <xdr:cNvPr id="21" name="Group 20">
          <a:extLst>
            <a:ext uri="{FF2B5EF4-FFF2-40B4-BE49-F238E27FC236}">
              <a16:creationId xmlns:a16="http://schemas.microsoft.com/office/drawing/2014/main" id="{04E72C7C-AF23-404E-8CDE-5195486BB2C0}"/>
            </a:ext>
          </a:extLst>
        </xdr:cNvPr>
        <xdr:cNvGrpSpPr/>
      </xdr:nvGrpSpPr>
      <xdr:grpSpPr>
        <a:xfrm>
          <a:off x="57130950" y="5124450"/>
          <a:ext cx="9027636" cy="461665"/>
          <a:chOff x="501353" y="1993652"/>
          <a:chExt cx="9065736" cy="461665"/>
        </a:xfrm>
      </xdr:grpSpPr>
      <xdr:pic>
        <xdr:nvPicPr>
          <xdr:cNvPr id="22" name="Picture 21">
            <a:extLst>
              <a:ext uri="{FF2B5EF4-FFF2-40B4-BE49-F238E27FC236}">
                <a16:creationId xmlns:a16="http://schemas.microsoft.com/office/drawing/2014/main" id="{0E98A484-0A80-4981-8499-D670DA20F976}"/>
              </a:ext>
            </a:extLst>
          </xdr:cNvPr>
          <xdr:cNvPicPr>
            <a:picLocks noChangeAspect="1"/>
          </xdr:cNvPicPr>
        </xdr:nvPicPr>
        <xdr:blipFill rotWithShape="1">
          <a:blip xmlns:r="http://schemas.openxmlformats.org/officeDocument/2006/relationships" r:embed="rId9"/>
          <a:srcRect t="-1" r="29452" b="-10230"/>
          <a:stretch/>
        </xdr:blipFill>
        <xdr:spPr>
          <a:xfrm>
            <a:off x="501353" y="2204864"/>
            <a:ext cx="6323855" cy="250453"/>
          </a:xfrm>
          <a:prstGeom prst="rect">
            <a:avLst/>
          </a:prstGeom>
        </xdr:spPr>
      </xdr:pic>
      <xdr:pic>
        <xdr:nvPicPr>
          <xdr:cNvPr id="23" name="Picture 22">
            <a:extLst>
              <a:ext uri="{FF2B5EF4-FFF2-40B4-BE49-F238E27FC236}">
                <a16:creationId xmlns:a16="http://schemas.microsoft.com/office/drawing/2014/main" id="{C19EA0B3-077D-48B1-85B4-FA186AFBB6B1}"/>
              </a:ext>
            </a:extLst>
          </xdr:cNvPr>
          <xdr:cNvPicPr>
            <a:picLocks noChangeAspect="1"/>
          </xdr:cNvPicPr>
        </xdr:nvPicPr>
        <xdr:blipFill rotWithShape="1">
          <a:blip xmlns:r="http://schemas.openxmlformats.org/officeDocument/2006/relationships" r:embed="rId9"/>
          <a:srcRect l="70691" t="5811"/>
          <a:stretch/>
        </xdr:blipFill>
        <xdr:spPr>
          <a:xfrm>
            <a:off x="6939793" y="2203748"/>
            <a:ext cx="2627296" cy="214005"/>
          </a:xfrm>
          <a:prstGeom prst="rect">
            <a:avLst/>
          </a:prstGeom>
        </xdr:spPr>
      </xdr:pic>
      <xdr:sp macro="" textlink="">
        <xdr:nvSpPr>
          <xdr:cNvPr id="24" name="Rectangle 23">
            <a:extLst>
              <a:ext uri="{FF2B5EF4-FFF2-40B4-BE49-F238E27FC236}">
                <a16:creationId xmlns:a16="http://schemas.microsoft.com/office/drawing/2014/main" id="{77A94B63-E19D-45C9-BC1E-6B95869AE94F}"/>
              </a:ext>
            </a:extLst>
          </xdr:cNvPr>
          <xdr:cNvSpPr/>
        </xdr:nvSpPr>
        <xdr:spPr>
          <a:xfrm>
            <a:off x="6738872" y="1993652"/>
            <a:ext cx="287258" cy="461665"/>
          </a:xfrm>
          <a:prstGeom prst="rect">
            <a:avLst/>
          </a:prstGeom>
        </xdr:spPr>
        <xdr:txBody>
          <a:bodyPr wrap="square">
            <a:spAutoFit/>
          </a:bodyPr>
          <a:lstStyle>
            <a:defPPr>
              <a:defRPr lang="es-ES_tradnl"/>
            </a:defPPr>
            <a:lvl1pPr algn="l" rtl="0" fontAlgn="base">
              <a:spcBef>
                <a:spcPct val="0"/>
              </a:spcBef>
              <a:spcAft>
                <a:spcPct val="0"/>
              </a:spcAft>
              <a:defRPr sz="2800" kern="1200">
                <a:solidFill>
                  <a:srgbClr val="447D1B"/>
                </a:solidFill>
                <a:latin typeface="Arial" pitchFamily="34" charset="0"/>
                <a:ea typeface="+mn-ea"/>
                <a:cs typeface="+mn-cs"/>
              </a:defRPr>
            </a:lvl1pPr>
            <a:lvl2pPr marL="457097" algn="l" rtl="0" fontAlgn="base">
              <a:spcBef>
                <a:spcPct val="0"/>
              </a:spcBef>
              <a:spcAft>
                <a:spcPct val="0"/>
              </a:spcAft>
              <a:defRPr sz="2800" kern="1200">
                <a:solidFill>
                  <a:srgbClr val="447D1B"/>
                </a:solidFill>
                <a:latin typeface="Arial" pitchFamily="34" charset="0"/>
                <a:ea typeface="+mn-ea"/>
                <a:cs typeface="+mn-cs"/>
              </a:defRPr>
            </a:lvl2pPr>
            <a:lvl3pPr marL="914192" algn="l" rtl="0" fontAlgn="base">
              <a:spcBef>
                <a:spcPct val="0"/>
              </a:spcBef>
              <a:spcAft>
                <a:spcPct val="0"/>
              </a:spcAft>
              <a:defRPr sz="2800" kern="1200">
                <a:solidFill>
                  <a:srgbClr val="447D1B"/>
                </a:solidFill>
                <a:latin typeface="Arial" pitchFamily="34" charset="0"/>
                <a:ea typeface="+mn-ea"/>
                <a:cs typeface="+mn-cs"/>
              </a:defRPr>
            </a:lvl3pPr>
            <a:lvl4pPr marL="1371289" algn="l" rtl="0" fontAlgn="base">
              <a:spcBef>
                <a:spcPct val="0"/>
              </a:spcBef>
              <a:spcAft>
                <a:spcPct val="0"/>
              </a:spcAft>
              <a:defRPr sz="2800" kern="1200">
                <a:solidFill>
                  <a:srgbClr val="447D1B"/>
                </a:solidFill>
                <a:latin typeface="Arial" pitchFamily="34" charset="0"/>
                <a:ea typeface="+mn-ea"/>
                <a:cs typeface="+mn-cs"/>
              </a:defRPr>
            </a:lvl4pPr>
            <a:lvl5pPr marL="1828384" algn="l" rtl="0" fontAlgn="base">
              <a:spcBef>
                <a:spcPct val="0"/>
              </a:spcBef>
              <a:spcAft>
                <a:spcPct val="0"/>
              </a:spcAft>
              <a:defRPr sz="2800" kern="1200">
                <a:solidFill>
                  <a:srgbClr val="447D1B"/>
                </a:solidFill>
                <a:latin typeface="Arial" pitchFamily="34" charset="0"/>
                <a:ea typeface="+mn-ea"/>
                <a:cs typeface="+mn-cs"/>
              </a:defRPr>
            </a:lvl5pPr>
            <a:lvl6pPr marL="2285480" algn="l" defTabSz="914192" rtl="0" eaLnBrk="1" latinLnBrk="0" hangingPunct="1">
              <a:defRPr sz="2800" kern="1200">
                <a:solidFill>
                  <a:srgbClr val="447D1B"/>
                </a:solidFill>
                <a:latin typeface="Arial" pitchFamily="34" charset="0"/>
                <a:ea typeface="+mn-ea"/>
                <a:cs typeface="+mn-cs"/>
              </a:defRPr>
            </a:lvl6pPr>
            <a:lvl7pPr marL="2742576" algn="l" defTabSz="914192" rtl="0" eaLnBrk="1" latinLnBrk="0" hangingPunct="1">
              <a:defRPr sz="2800" kern="1200">
                <a:solidFill>
                  <a:srgbClr val="447D1B"/>
                </a:solidFill>
                <a:latin typeface="Arial" pitchFamily="34" charset="0"/>
                <a:ea typeface="+mn-ea"/>
                <a:cs typeface="+mn-cs"/>
              </a:defRPr>
            </a:lvl7pPr>
            <a:lvl8pPr marL="3199672" algn="l" defTabSz="914192" rtl="0" eaLnBrk="1" latinLnBrk="0" hangingPunct="1">
              <a:defRPr sz="2800" kern="1200">
                <a:solidFill>
                  <a:srgbClr val="447D1B"/>
                </a:solidFill>
                <a:latin typeface="Arial" pitchFamily="34" charset="0"/>
                <a:ea typeface="+mn-ea"/>
                <a:cs typeface="+mn-cs"/>
              </a:defRPr>
            </a:lvl8pPr>
            <a:lvl9pPr marL="3656768" algn="l" defTabSz="914192" rtl="0" eaLnBrk="1" latinLnBrk="0" hangingPunct="1">
              <a:defRPr sz="2800" kern="1200">
                <a:solidFill>
                  <a:srgbClr val="447D1B"/>
                </a:solidFill>
                <a:latin typeface="Arial" pitchFamily="34" charset="0"/>
                <a:ea typeface="+mn-ea"/>
                <a:cs typeface="+mn-cs"/>
              </a:defRPr>
            </a:lvl9pPr>
          </a:lstStyle>
          <a:p>
            <a:r>
              <a:rPr lang="en-GB" sz="2400">
                <a:solidFill>
                  <a:schemeClr val="accent4">
                    <a:lumMod val="10000"/>
                  </a:schemeClr>
                </a:solidFill>
              </a:rPr>
              <a:t>-</a:t>
            </a:r>
          </a:p>
        </xdr:txBody>
      </xdr:sp>
    </xdr:grpSp>
    <xdr:clientData/>
  </xdr:twoCellAnchor>
  <xdr:twoCellAnchor editAs="oneCell">
    <xdr:from>
      <xdr:col>59</xdr:col>
      <xdr:colOff>76200</xdr:colOff>
      <xdr:row>2</xdr:row>
      <xdr:rowOff>152400</xdr:rowOff>
    </xdr:from>
    <xdr:to>
      <xdr:col>65</xdr:col>
      <xdr:colOff>554580</xdr:colOff>
      <xdr:row>19</xdr:row>
      <xdr:rowOff>18516</xdr:rowOff>
    </xdr:to>
    <xdr:pic>
      <xdr:nvPicPr>
        <xdr:cNvPr id="25" name="Picture 24">
          <a:extLst>
            <a:ext uri="{FF2B5EF4-FFF2-40B4-BE49-F238E27FC236}">
              <a16:creationId xmlns:a16="http://schemas.microsoft.com/office/drawing/2014/main" id="{B75F6F8B-A1FA-4F0D-A344-EFDD28EAE70D}"/>
            </a:ext>
          </a:extLst>
        </xdr:cNvPr>
        <xdr:cNvPicPr>
          <a:picLocks noChangeAspect="1"/>
        </xdr:cNvPicPr>
      </xdr:nvPicPr>
      <xdr:blipFill>
        <a:blip xmlns:r="http://schemas.openxmlformats.org/officeDocument/2006/relationships" r:embed="rId10"/>
        <a:stretch>
          <a:fillRect/>
        </a:stretch>
      </xdr:blipFill>
      <xdr:spPr>
        <a:xfrm>
          <a:off x="65789175" y="533400"/>
          <a:ext cx="4135980" cy="3104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18</xdr:row>
      <xdr:rowOff>27889</xdr:rowOff>
    </xdr:to>
    <xdr:grpSp>
      <xdr:nvGrpSpPr>
        <xdr:cNvPr id="2" name="Group 1">
          <a:extLst>
            <a:ext uri="{FF2B5EF4-FFF2-40B4-BE49-F238E27FC236}">
              <a16:creationId xmlns:a16="http://schemas.microsoft.com/office/drawing/2014/main" id="{60E95103-576C-46EA-88BB-EEAA39117A9A}"/>
            </a:ext>
          </a:extLst>
        </xdr:cNvPr>
        <xdr:cNvGrpSpPr/>
      </xdr:nvGrpSpPr>
      <xdr:grpSpPr>
        <a:xfrm>
          <a:off x="0" y="2298700"/>
          <a:ext cx="0" cy="1161364"/>
          <a:chOff x="12153900" y="2990850"/>
          <a:chExt cx="2861257" cy="1875740"/>
        </a:xfrm>
      </xdr:grpSpPr>
      <xdr:pic>
        <xdr:nvPicPr>
          <xdr:cNvPr id="3" name="Picture 2">
            <a:extLst>
              <a:ext uri="{FF2B5EF4-FFF2-40B4-BE49-F238E27FC236}">
                <a16:creationId xmlns:a16="http://schemas.microsoft.com/office/drawing/2014/main" id="{9BB17940-39DC-4FA1-8E96-F446EDA34033}"/>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4" name="Picture 3">
            <a:extLst>
              <a:ext uri="{FF2B5EF4-FFF2-40B4-BE49-F238E27FC236}">
                <a16:creationId xmlns:a16="http://schemas.microsoft.com/office/drawing/2014/main" id="{33A4F3E8-A92F-4485-AC0C-B6FDF100B10C}"/>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twoCellAnchor>
    <xdr:from>
      <xdr:col>0</xdr:col>
      <xdr:colOff>0</xdr:colOff>
      <xdr:row>1</xdr:row>
      <xdr:rowOff>190499</xdr:rowOff>
    </xdr:from>
    <xdr:to>
      <xdr:col>0</xdr:col>
      <xdr:colOff>0</xdr:colOff>
      <xdr:row>7</xdr:row>
      <xdr:rowOff>38100</xdr:rowOff>
    </xdr:to>
    <xdr:grpSp>
      <xdr:nvGrpSpPr>
        <xdr:cNvPr id="5" name="Group 4">
          <a:extLst>
            <a:ext uri="{FF2B5EF4-FFF2-40B4-BE49-F238E27FC236}">
              <a16:creationId xmlns:a16="http://schemas.microsoft.com/office/drawing/2014/main" id="{A23BE9A9-DB5D-4E31-9213-D0D372509F1D}"/>
            </a:ext>
          </a:extLst>
        </xdr:cNvPr>
        <xdr:cNvGrpSpPr/>
      </xdr:nvGrpSpPr>
      <xdr:grpSpPr>
        <a:xfrm>
          <a:off x="0" y="380999"/>
          <a:ext cx="0" cy="990601"/>
          <a:chOff x="12153900" y="2990850"/>
          <a:chExt cx="2861257" cy="1875740"/>
        </a:xfrm>
      </xdr:grpSpPr>
      <xdr:pic>
        <xdr:nvPicPr>
          <xdr:cNvPr id="6" name="Picture 5">
            <a:extLst>
              <a:ext uri="{FF2B5EF4-FFF2-40B4-BE49-F238E27FC236}">
                <a16:creationId xmlns:a16="http://schemas.microsoft.com/office/drawing/2014/main" id="{EDBCE2BA-0D18-4B89-9106-F36778C851CE}"/>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7" name="Picture 6">
            <a:extLst>
              <a:ext uri="{FF2B5EF4-FFF2-40B4-BE49-F238E27FC236}">
                <a16:creationId xmlns:a16="http://schemas.microsoft.com/office/drawing/2014/main" id="{DBA0E7EF-FA03-4DA0-B848-8E0C3F1D86CD}"/>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oneCellAnchor>
    <xdr:from>
      <xdr:col>55</xdr:col>
      <xdr:colOff>388198</xdr:colOff>
      <xdr:row>1</xdr:row>
      <xdr:rowOff>9524</xdr:rowOff>
    </xdr:from>
    <xdr:ext cx="1309333" cy="593304"/>
    <xdr:sp macro="" textlink="">
      <xdr:nvSpPr>
        <xdr:cNvPr id="8" name="Rectangle 7">
          <a:extLst>
            <a:ext uri="{FF2B5EF4-FFF2-40B4-BE49-F238E27FC236}">
              <a16:creationId xmlns:a16="http://schemas.microsoft.com/office/drawing/2014/main" id="{FF72BCE3-2AF7-4762-B145-AA5F43150D3F}"/>
            </a:ext>
          </a:extLst>
        </xdr:cNvPr>
        <xdr:cNvSpPr/>
      </xdr:nvSpPr>
      <xdr:spPr>
        <a:xfrm>
          <a:off x="63662773" y="200024"/>
          <a:ext cx="1309333" cy="593304"/>
        </a:xfrm>
        <a:prstGeom prst="rect">
          <a:avLst/>
        </a:prstGeom>
        <a:noFill/>
      </xdr:spPr>
      <xdr:txBody>
        <a:bodyPr wrap="none" lIns="91440" tIns="45720" rIns="91440" bIns="45720">
          <a:spAutoFit/>
        </a:bodyPr>
        <a:lstStyle/>
        <a:p>
          <a:pPr algn="ctr"/>
          <a:r>
            <a:rPr lang="en-US" sz="32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clientData/>
  </xdr:oneCellAnchor>
  <xdr:twoCellAnchor>
    <xdr:from>
      <xdr:col>0</xdr:col>
      <xdr:colOff>0</xdr:colOff>
      <xdr:row>29</xdr:row>
      <xdr:rowOff>0</xdr:rowOff>
    </xdr:from>
    <xdr:to>
      <xdr:col>0</xdr:col>
      <xdr:colOff>0</xdr:colOff>
      <xdr:row>34</xdr:row>
      <xdr:rowOff>118102</xdr:rowOff>
    </xdr:to>
    <xdr:grpSp>
      <xdr:nvGrpSpPr>
        <xdr:cNvPr id="9" name="Group 8">
          <a:extLst>
            <a:ext uri="{FF2B5EF4-FFF2-40B4-BE49-F238E27FC236}">
              <a16:creationId xmlns:a16="http://schemas.microsoft.com/office/drawing/2014/main" id="{C1CCC640-349D-4C10-972F-7891522138EF}"/>
            </a:ext>
          </a:extLst>
        </xdr:cNvPr>
        <xdr:cNvGrpSpPr/>
      </xdr:nvGrpSpPr>
      <xdr:grpSpPr>
        <a:xfrm>
          <a:off x="0" y="5524500"/>
          <a:ext cx="0" cy="1070602"/>
          <a:chOff x="8572500" y="3876675"/>
          <a:chExt cx="5882031" cy="2861302"/>
        </a:xfrm>
      </xdr:grpSpPr>
      <xdr:pic>
        <xdr:nvPicPr>
          <xdr:cNvPr id="10" name="Picture 9">
            <a:extLst>
              <a:ext uri="{FF2B5EF4-FFF2-40B4-BE49-F238E27FC236}">
                <a16:creationId xmlns:a16="http://schemas.microsoft.com/office/drawing/2014/main" id="{C42C269B-2DD1-43D8-95D8-BDEE28D9840C}"/>
              </a:ext>
            </a:extLst>
          </xdr:cNvPr>
          <xdr:cNvPicPr>
            <a:picLocks noChangeAspect="1"/>
          </xdr:cNvPicPr>
        </xdr:nvPicPr>
        <xdr:blipFill>
          <a:blip xmlns:r="http://schemas.openxmlformats.org/officeDocument/2006/relationships" r:embed="rId3"/>
          <a:stretch>
            <a:fillRect/>
          </a:stretch>
        </xdr:blipFill>
        <xdr:spPr>
          <a:xfrm>
            <a:off x="8572500" y="3876675"/>
            <a:ext cx="5882031" cy="2861302"/>
          </a:xfrm>
          <a:prstGeom prst="rect">
            <a:avLst/>
          </a:prstGeom>
        </xdr:spPr>
      </xdr:pic>
      <xdr:pic>
        <xdr:nvPicPr>
          <xdr:cNvPr id="11" name="Picture 10">
            <a:extLst>
              <a:ext uri="{FF2B5EF4-FFF2-40B4-BE49-F238E27FC236}">
                <a16:creationId xmlns:a16="http://schemas.microsoft.com/office/drawing/2014/main" id="{017A8B6B-EC48-46B2-B561-7FFA7B5B6A91}"/>
              </a:ext>
            </a:extLst>
          </xdr:cNvPr>
          <xdr:cNvPicPr>
            <a:picLocks noChangeAspect="1"/>
          </xdr:cNvPicPr>
        </xdr:nvPicPr>
        <xdr:blipFill>
          <a:blip xmlns:r="http://schemas.openxmlformats.org/officeDocument/2006/relationships" r:embed="rId4"/>
          <a:stretch>
            <a:fillRect/>
          </a:stretch>
        </xdr:blipFill>
        <xdr:spPr>
          <a:xfrm>
            <a:off x="11582400" y="4730026"/>
            <a:ext cx="537973" cy="1051495"/>
          </a:xfrm>
          <a:prstGeom prst="rect">
            <a:avLst/>
          </a:prstGeom>
        </xdr:spPr>
      </xdr:pic>
    </xdr:grpSp>
    <xdr:clientData/>
  </xdr:twoCellAnchor>
  <xdr:twoCellAnchor editAs="oneCell">
    <xdr:from>
      <xdr:col>56</xdr:col>
      <xdr:colOff>0</xdr:colOff>
      <xdr:row>17</xdr:row>
      <xdr:rowOff>0</xdr:rowOff>
    </xdr:from>
    <xdr:to>
      <xdr:col>56</xdr:col>
      <xdr:colOff>304800</xdr:colOff>
      <xdr:row>18</xdr:row>
      <xdr:rowOff>114300</xdr:rowOff>
    </xdr:to>
    <xdr:sp macro="" textlink="">
      <xdr:nvSpPr>
        <xdr:cNvPr id="12" name="AutoShape 3" descr="Transparent Background Calculator Clipart">
          <a:extLst>
            <a:ext uri="{FF2B5EF4-FFF2-40B4-BE49-F238E27FC236}">
              <a16:creationId xmlns:a16="http://schemas.microsoft.com/office/drawing/2014/main" id="{75283340-9E0A-468E-BA79-78D104C2F08E}"/>
            </a:ext>
          </a:extLst>
        </xdr:cNvPr>
        <xdr:cNvSpPr>
          <a:spLocks noChangeAspect="1" noChangeArrowheads="1"/>
        </xdr:cNvSpPr>
      </xdr:nvSpPr>
      <xdr:spPr bwMode="auto">
        <a:xfrm>
          <a:off x="638841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54</xdr:col>
      <xdr:colOff>466724</xdr:colOff>
      <xdr:row>2</xdr:row>
      <xdr:rowOff>152400</xdr:rowOff>
    </xdr:from>
    <xdr:to>
      <xdr:col>58</xdr:col>
      <xdr:colOff>428624</xdr:colOff>
      <xdr:row>15</xdr:row>
      <xdr:rowOff>76200</xdr:rowOff>
    </xdr:to>
    <xdr:pic>
      <xdr:nvPicPr>
        <xdr:cNvPr id="13" name="Picture 12" descr="Transparent Background Calculator Clipart">
          <a:extLst>
            <a:ext uri="{FF2B5EF4-FFF2-40B4-BE49-F238E27FC236}">
              <a16:creationId xmlns:a16="http://schemas.microsoft.com/office/drawing/2014/main" id="{3E481F35-B388-4878-814A-955AA9BC9B3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131699" y="533400"/>
          <a:ext cx="24003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565150</xdr:colOff>
      <xdr:row>20</xdr:row>
      <xdr:rowOff>155575</xdr:rowOff>
    </xdr:from>
    <xdr:to>
      <xdr:col>51</xdr:col>
      <xdr:colOff>1552745</xdr:colOff>
      <xdr:row>26</xdr:row>
      <xdr:rowOff>59640</xdr:rowOff>
    </xdr:to>
    <xdr:pic>
      <xdr:nvPicPr>
        <xdr:cNvPr id="14" name="Picture 13">
          <a:extLst>
            <a:ext uri="{FF2B5EF4-FFF2-40B4-BE49-F238E27FC236}">
              <a16:creationId xmlns:a16="http://schemas.microsoft.com/office/drawing/2014/main" id="{7B06C148-E677-42C1-9BD4-D1B35675DF57}"/>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57172225" y="3965575"/>
          <a:ext cx="1597195" cy="1047065"/>
        </a:xfrm>
        <a:prstGeom prst="rect">
          <a:avLst/>
        </a:prstGeom>
      </xdr:spPr>
    </xdr:pic>
    <xdr:clientData/>
  </xdr:twoCellAnchor>
  <xdr:twoCellAnchor>
    <xdr:from>
      <xdr:col>52</xdr:col>
      <xdr:colOff>349252</xdr:colOff>
      <xdr:row>20</xdr:row>
      <xdr:rowOff>123826</xdr:rowOff>
    </xdr:from>
    <xdr:to>
      <xdr:col>53</xdr:col>
      <xdr:colOff>306388</xdr:colOff>
      <xdr:row>25</xdr:row>
      <xdr:rowOff>187327</xdr:rowOff>
    </xdr:to>
    <xdr:grpSp>
      <xdr:nvGrpSpPr>
        <xdr:cNvPr id="15" name="Group 14">
          <a:extLst>
            <a:ext uri="{FF2B5EF4-FFF2-40B4-BE49-F238E27FC236}">
              <a16:creationId xmlns:a16="http://schemas.microsoft.com/office/drawing/2014/main" id="{8B3F77DE-3822-48BE-AD4D-147DAA30B6A7}"/>
            </a:ext>
          </a:extLst>
        </xdr:cNvPr>
        <xdr:cNvGrpSpPr/>
      </xdr:nvGrpSpPr>
      <xdr:grpSpPr>
        <a:xfrm>
          <a:off x="60290077" y="3937001"/>
          <a:ext cx="2030411" cy="1012826"/>
          <a:chOff x="60683775" y="2828925"/>
          <a:chExt cx="2308426" cy="1122929"/>
        </a:xfrm>
      </xdr:grpSpPr>
      <xdr:pic>
        <xdr:nvPicPr>
          <xdr:cNvPr id="16" name="Picture 15">
            <a:extLst>
              <a:ext uri="{FF2B5EF4-FFF2-40B4-BE49-F238E27FC236}">
                <a16:creationId xmlns:a16="http://schemas.microsoft.com/office/drawing/2014/main" id="{BD8768E9-29DA-409F-989A-6552C1B8A9BB}"/>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17" name="Picture 16">
            <a:extLst>
              <a:ext uri="{FF2B5EF4-FFF2-40B4-BE49-F238E27FC236}">
                <a16:creationId xmlns:a16="http://schemas.microsoft.com/office/drawing/2014/main" id="{5488770C-19EA-4D00-9AEA-76479EF0B29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xdr:from>
      <xdr:col>51</xdr:col>
      <xdr:colOff>1897062</xdr:colOff>
      <xdr:row>23</xdr:row>
      <xdr:rowOff>30163</xdr:rowOff>
    </xdr:from>
    <xdr:to>
      <xdr:col>51</xdr:col>
      <xdr:colOff>2573337</xdr:colOff>
      <xdr:row>24</xdr:row>
      <xdr:rowOff>30163</xdr:rowOff>
    </xdr:to>
    <xdr:sp macro="" textlink="">
      <xdr:nvSpPr>
        <xdr:cNvPr id="18" name="Arrow: Right 17">
          <a:extLst>
            <a:ext uri="{FF2B5EF4-FFF2-40B4-BE49-F238E27FC236}">
              <a16:creationId xmlns:a16="http://schemas.microsoft.com/office/drawing/2014/main" id="{6329AF30-48FC-4F2D-8AA3-F55A18BAF0AD}"/>
            </a:ext>
          </a:extLst>
        </xdr:cNvPr>
        <xdr:cNvSpPr/>
      </xdr:nvSpPr>
      <xdr:spPr>
        <a:xfrm>
          <a:off x="59113737" y="4411663"/>
          <a:ext cx="67627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174625</xdr:colOff>
      <xdr:row>11</xdr:row>
      <xdr:rowOff>111125</xdr:rowOff>
    </xdr:from>
    <xdr:to>
      <xdr:col>51</xdr:col>
      <xdr:colOff>1698625</xdr:colOff>
      <xdr:row>15</xdr:row>
      <xdr:rowOff>141606</xdr:rowOff>
    </xdr:to>
    <xdr:pic>
      <xdr:nvPicPr>
        <xdr:cNvPr id="19" name="Picture 18" descr="SP Energy Networks | LinkedIn">
          <a:extLst>
            <a:ext uri="{FF2B5EF4-FFF2-40B4-BE49-F238E27FC236}">
              <a16:creationId xmlns:a16="http://schemas.microsoft.com/office/drawing/2014/main" id="{C6B7AA36-F1F6-4D03-8292-EBCE155E7771}"/>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2500" b="25500"/>
        <a:stretch/>
      </xdr:blipFill>
      <xdr:spPr bwMode="auto">
        <a:xfrm>
          <a:off x="57391300" y="2206625"/>
          <a:ext cx="1524000" cy="792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301625</xdr:colOff>
      <xdr:row>15</xdr:row>
      <xdr:rowOff>15873</xdr:rowOff>
    </xdr:from>
    <xdr:to>
      <xdr:col>58</xdr:col>
      <xdr:colOff>55562</xdr:colOff>
      <xdr:row>21</xdr:row>
      <xdr:rowOff>131533</xdr:rowOff>
    </xdr:to>
    <xdr:pic>
      <xdr:nvPicPr>
        <xdr:cNvPr id="20" name="Picture 19">
          <a:extLst>
            <a:ext uri="{FF2B5EF4-FFF2-40B4-BE49-F238E27FC236}">
              <a16:creationId xmlns:a16="http://schemas.microsoft.com/office/drawing/2014/main" id="{09C9BDD7-BE88-45D2-9B16-5E8E3D91D7A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6200" y="2873373"/>
          <a:ext cx="1582737" cy="1258660"/>
        </a:xfrm>
        <a:prstGeom prst="rect">
          <a:avLst/>
        </a:prstGeom>
        <a:noFill/>
        <a:ln>
          <a:noFill/>
        </a:ln>
      </xdr:spPr>
    </xdr:pic>
    <xdr:clientData/>
  </xdr:twoCellAnchor>
  <xdr:twoCellAnchor>
    <xdr:from>
      <xdr:col>50</xdr:col>
      <xdr:colOff>523875</xdr:colOff>
      <xdr:row>26</xdr:row>
      <xdr:rowOff>171450</xdr:rowOff>
    </xdr:from>
    <xdr:to>
      <xdr:col>59</xdr:col>
      <xdr:colOff>445611</xdr:colOff>
      <xdr:row>29</xdr:row>
      <xdr:rowOff>61615</xdr:rowOff>
    </xdr:to>
    <xdr:grpSp>
      <xdr:nvGrpSpPr>
        <xdr:cNvPr id="21" name="Group 20">
          <a:extLst>
            <a:ext uri="{FF2B5EF4-FFF2-40B4-BE49-F238E27FC236}">
              <a16:creationId xmlns:a16="http://schemas.microsoft.com/office/drawing/2014/main" id="{BE99ADF3-D8ED-40CA-85EF-B8D27BF13231}"/>
            </a:ext>
          </a:extLst>
        </xdr:cNvPr>
        <xdr:cNvGrpSpPr/>
      </xdr:nvGrpSpPr>
      <xdr:grpSpPr>
        <a:xfrm>
          <a:off x="57150000" y="5124450"/>
          <a:ext cx="9027636" cy="461665"/>
          <a:chOff x="501353" y="1993652"/>
          <a:chExt cx="9065736" cy="461665"/>
        </a:xfrm>
      </xdr:grpSpPr>
      <xdr:pic>
        <xdr:nvPicPr>
          <xdr:cNvPr id="22" name="Picture 21">
            <a:extLst>
              <a:ext uri="{FF2B5EF4-FFF2-40B4-BE49-F238E27FC236}">
                <a16:creationId xmlns:a16="http://schemas.microsoft.com/office/drawing/2014/main" id="{19D29D14-F10D-4CF1-BFE0-E59CAB57CC9A}"/>
              </a:ext>
            </a:extLst>
          </xdr:cNvPr>
          <xdr:cNvPicPr>
            <a:picLocks noChangeAspect="1"/>
          </xdr:cNvPicPr>
        </xdr:nvPicPr>
        <xdr:blipFill rotWithShape="1">
          <a:blip xmlns:r="http://schemas.openxmlformats.org/officeDocument/2006/relationships" r:embed="rId9"/>
          <a:srcRect t="-1" r="29452" b="-10230"/>
          <a:stretch/>
        </xdr:blipFill>
        <xdr:spPr>
          <a:xfrm>
            <a:off x="501353" y="2204864"/>
            <a:ext cx="6323855" cy="250453"/>
          </a:xfrm>
          <a:prstGeom prst="rect">
            <a:avLst/>
          </a:prstGeom>
        </xdr:spPr>
      </xdr:pic>
      <xdr:pic>
        <xdr:nvPicPr>
          <xdr:cNvPr id="23" name="Picture 22">
            <a:extLst>
              <a:ext uri="{FF2B5EF4-FFF2-40B4-BE49-F238E27FC236}">
                <a16:creationId xmlns:a16="http://schemas.microsoft.com/office/drawing/2014/main" id="{93000514-6DA3-42A9-BE8C-5AC008E002F9}"/>
              </a:ext>
            </a:extLst>
          </xdr:cNvPr>
          <xdr:cNvPicPr>
            <a:picLocks noChangeAspect="1"/>
          </xdr:cNvPicPr>
        </xdr:nvPicPr>
        <xdr:blipFill rotWithShape="1">
          <a:blip xmlns:r="http://schemas.openxmlformats.org/officeDocument/2006/relationships" r:embed="rId9"/>
          <a:srcRect l="70691" t="5811"/>
          <a:stretch/>
        </xdr:blipFill>
        <xdr:spPr>
          <a:xfrm>
            <a:off x="6939793" y="2203748"/>
            <a:ext cx="2627296" cy="214005"/>
          </a:xfrm>
          <a:prstGeom prst="rect">
            <a:avLst/>
          </a:prstGeom>
        </xdr:spPr>
      </xdr:pic>
      <xdr:sp macro="" textlink="">
        <xdr:nvSpPr>
          <xdr:cNvPr id="24" name="Rectangle 23">
            <a:extLst>
              <a:ext uri="{FF2B5EF4-FFF2-40B4-BE49-F238E27FC236}">
                <a16:creationId xmlns:a16="http://schemas.microsoft.com/office/drawing/2014/main" id="{609023C3-F37B-4A34-8473-AFF9D9540031}"/>
              </a:ext>
            </a:extLst>
          </xdr:cNvPr>
          <xdr:cNvSpPr/>
        </xdr:nvSpPr>
        <xdr:spPr>
          <a:xfrm>
            <a:off x="6738872" y="1993652"/>
            <a:ext cx="287258" cy="461665"/>
          </a:xfrm>
          <a:prstGeom prst="rect">
            <a:avLst/>
          </a:prstGeom>
        </xdr:spPr>
        <xdr:txBody>
          <a:bodyPr wrap="square">
            <a:spAutoFit/>
          </a:bodyPr>
          <a:lstStyle>
            <a:defPPr>
              <a:defRPr lang="es-ES_tradnl"/>
            </a:defPPr>
            <a:lvl1pPr algn="l" rtl="0" fontAlgn="base">
              <a:spcBef>
                <a:spcPct val="0"/>
              </a:spcBef>
              <a:spcAft>
                <a:spcPct val="0"/>
              </a:spcAft>
              <a:defRPr sz="2800" kern="1200">
                <a:solidFill>
                  <a:srgbClr val="447D1B"/>
                </a:solidFill>
                <a:latin typeface="Arial" pitchFamily="34" charset="0"/>
                <a:ea typeface="+mn-ea"/>
                <a:cs typeface="+mn-cs"/>
              </a:defRPr>
            </a:lvl1pPr>
            <a:lvl2pPr marL="457097" algn="l" rtl="0" fontAlgn="base">
              <a:spcBef>
                <a:spcPct val="0"/>
              </a:spcBef>
              <a:spcAft>
                <a:spcPct val="0"/>
              </a:spcAft>
              <a:defRPr sz="2800" kern="1200">
                <a:solidFill>
                  <a:srgbClr val="447D1B"/>
                </a:solidFill>
                <a:latin typeface="Arial" pitchFamily="34" charset="0"/>
                <a:ea typeface="+mn-ea"/>
                <a:cs typeface="+mn-cs"/>
              </a:defRPr>
            </a:lvl2pPr>
            <a:lvl3pPr marL="914192" algn="l" rtl="0" fontAlgn="base">
              <a:spcBef>
                <a:spcPct val="0"/>
              </a:spcBef>
              <a:spcAft>
                <a:spcPct val="0"/>
              </a:spcAft>
              <a:defRPr sz="2800" kern="1200">
                <a:solidFill>
                  <a:srgbClr val="447D1B"/>
                </a:solidFill>
                <a:latin typeface="Arial" pitchFamily="34" charset="0"/>
                <a:ea typeface="+mn-ea"/>
                <a:cs typeface="+mn-cs"/>
              </a:defRPr>
            </a:lvl3pPr>
            <a:lvl4pPr marL="1371289" algn="l" rtl="0" fontAlgn="base">
              <a:spcBef>
                <a:spcPct val="0"/>
              </a:spcBef>
              <a:spcAft>
                <a:spcPct val="0"/>
              </a:spcAft>
              <a:defRPr sz="2800" kern="1200">
                <a:solidFill>
                  <a:srgbClr val="447D1B"/>
                </a:solidFill>
                <a:latin typeface="Arial" pitchFamily="34" charset="0"/>
                <a:ea typeface="+mn-ea"/>
                <a:cs typeface="+mn-cs"/>
              </a:defRPr>
            </a:lvl4pPr>
            <a:lvl5pPr marL="1828384" algn="l" rtl="0" fontAlgn="base">
              <a:spcBef>
                <a:spcPct val="0"/>
              </a:spcBef>
              <a:spcAft>
                <a:spcPct val="0"/>
              </a:spcAft>
              <a:defRPr sz="2800" kern="1200">
                <a:solidFill>
                  <a:srgbClr val="447D1B"/>
                </a:solidFill>
                <a:latin typeface="Arial" pitchFamily="34" charset="0"/>
                <a:ea typeface="+mn-ea"/>
                <a:cs typeface="+mn-cs"/>
              </a:defRPr>
            </a:lvl5pPr>
            <a:lvl6pPr marL="2285480" algn="l" defTabSz="914192" rtl="0" eaLnBrk="1" latinLnBrk="0" hangingPunct="1">
              <a:defRPr sz="2800" kern="1200">
                <a:solidFill>
                  <a:srgbClr val="447D1B"/>
                </a:solidFill>
                <a:latin typeface="Arial" pitchFamily="34" charset="0"/>
                <a:ea typeface="+mn-ea"/>
                <a:cs typeface="+mn-cs"/>
              </a:defRPr>
            </a:lvl6pPr>
            <a:lvl7pPr marL="2742576" algn="l" defTabSz="914192" rtl="0" eaLnBrk="1" latinLnBrk="0" hangingPunct="1">
              <a:defRPr sz="2800" kern="1200">
                <a:solidFill>
                  <a:srgbClr val="447D1B"/>
                </a:solidFill>
                <a:latin typeface="Arial" pitchFamily="34" charset="0"/>
                <a:ea typeface="+mn-ea"/>
                <a:cs typeface="+mn-cs"/>
              </a:defRPr>
            </a:lvl7pPr>
            <a:lvl8pPr marL="3199672" algn="l" defTabSz="914192" rtl="0" eaLnBrk="1" latinLnBrk="0" hangingPunct="1">
              <a:defRPr sz="2800" kern="1200">
                <a:solidFill>
                  <a:srgbClr val="447D1B"/>
                </a:solidFill>
                <a:latin typeface="Arial" pitchFamily="34" charset="0"/>
                <a:ea typeface="+mn-ea"/>
                <a:cs typeface="+mn-cs"/>
              </a:defRPr>
            </a:lvl8pPr>
            <a:lvl9pPr marL="3656768" algn="l" defTabSz="914192" rtl="0" eaLnBrk="1" latinLnBrk="0" hangingPunct="1">
              <a:defRPr sz="2800" kern="1200">
                <a:solidFill>
                  <a:srgbClr val="447D1B"/>
                </a:solidFill>
                <a:latin typeface="Arial" pitchFamily="34" charset="0"/>
                <a:ea typeface="+mn-ea"/>
                <a:cs typeface="+mn-cs"/>
              </a:defRPr>
            </a:lvl9pPr>
          </a:lstStyle>
          <a:p>
            <a:r>
              <a:rPr lang="en-GB" sz="2400">
                <a:solidFill>
                  <a:schemeClr val="accent4">
                    <a:lumMod val="10000"/>
                  </a:schemeClr>
                </a:solidFill>
              </a:rPr>
              <a:t>-</a:t>
            </a:r>
          </a:p>
        </xdr:txBody>
      </xdr:sp>
    </xdr:grpSp>
    <xdr:clientData/>
  </xdr:twoCellAnchor>
  <xdr:twoCellAnchor editAs="oneCell">
    <xdr:from>
      <xdr:col>59</xdr:col>
      <xdr:colOff>76200</xdr:colOff>
      <xdr:row>2</xdr:row>
      <xdr:rowOff>152400</xdr:rowOff>
    </xdr:from>
    <xdr:to>
      <xdr:col>65</xdr:col>
      <xdr:colOff>554580</xdr:colOff>
      <xdr:row>19</xdr:row>
      <xdr:rowOff>18516</xdr:rowOff>
    </xdr:to>
    <xdr:pic>
      <xdr:nvPicPr>
        <xdr:cNvPr id="25" name="Picture 24">
          <a:extLst>
            <a:ext uri="{FF2B5EF4-FFF2-40B4-BE49-F238E27FC236}">
              <a16:creationId xmlns:a16="http://schemas.microsoft.com/office/drawing/2014/main" id="{5BA8DB9E-0AD8-4A1F-9385-8F3C72D265B2}"/>
            </a:ext>
          </a:extLst>
        </xdr:cNvPr>
        <xdr:cNvPicPr>
          <a:picLocks noChangeAspect="1"/>
        </xdr:cNvPicPr>
      </xdr:nvPicPr>
      <xdr:blipFill>
        <a:blip xmlns:r="http://schemas.openxmlformats.org/officeDocument/2006/relationships" r:embed="rId10"/>
        <a:stretch>
          <a:fillRect/>
        </a:stretch>
      </xdr:blipFill>
      <xdr:spPr>
        <a:xfrm>
          <a:off x="65789175" y="533400"/>
          <a:ext cx="4135980" cy="3104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18</xdr:row>
      <xdr:rowOff>27889</xdr:rowOff>
    </xdr:to>
    <xdr:grpSp>
      <xdr:nvGrpSpPr>
        <xdr:cNvPr id="2" name="Group 1">
          <a:extLst>
            <a:ext uri="{FF2B5EF4-FFF2-40B4-BE49-F238E27FC236}">
              <a16:creationId xmlns:a16="http://schemas.microsoft.com/office/drawing/2014/main" id="{B64D8EE9-032C-42A2-99A6-8EB5C2659228}"/>
            </a:ext>
          </a:extLst>
        </xdr:cNvPr>
        <xdr:cNvGrpSpPr/>
      </xdr:nvGrpSpPr>
      <xdr:grpSpPr>
        <a:xfrm>
          <a:off x="0" y="2295525"/>
          <a:ext cx="0" cy="1161364"/>
          <a:chOff x="12153900" y="2990850"/>
          <a:chExt cx="2861257" cy="1875740"/>
        </a:xfrm>
      </xdr:grpSpPr>
      <xdr:pic>
        <xdr:nvPicPr>
          <xdr:cNvPr id="3" name="Picture 2">
            <a:extLst>
              <a:ext uri="{FF2B5EF4-FFF2-40B4-BE49-F238E27FC236}">
                <a16:creationId xmlns:a16="http://schemas.microsoft.com/office/drawing/2014/main" id="{B8E64110-9B3B-4979-8224-AE1AD5E0EA6B}"/>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4" name="Picture 3">
            <a:extLst>
              <a:ext uri="{FF2B5EF4-FFF2-40B4-BE49-F238E27FC236}">
                <a16:creationId xmlns:a16="http://schemas.microsoft.com/office/drawing/2014/main" id="{6199DB4D-E1DB-4135-BA60-83B5AE2445DD}"/>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twoCellAnchor>
    <xdr:from>
      <xdr:col>0</xdr:col>
      <xdr:colOff>0</xdr:colOff>
      <xdr:row>1</xdr:row>
      <xdr:rowOff>190499</xdr:rowOff>
    </xdr:from>
    <xdr:to>
      <xdr:col>0</xdr:col>
      <xdr:colOff>0</xdr:colOff>
      <xdr:row>7</xdr:row>
      <xdr:rowOff>38100</xdr:rowOff>
    </xdr:to>
    <xdr:grpSp>
      <xdr:nvGrpSpPr>
        <xdr:cNvPr id="5" name="Group 4">
          <a:extLst>
            <a:ext uri="{FF2B5EF4-FFF2-40B4-BE49-F238E27FC236}">
              <a16:creationId xmlns:a16="http://schemas.microsoft.com/office/drawing/2014/main" id="{51DEC339-1700-453E-8A9C-05906A1ACC26}"/>
            </a:ext>
          </a:extLst>
        </xdr:cNvPr>
        <xdr:cNvGrpSpPr/>
      </xdr:nvGrpSpPr>
      <xdr:grpSpPr>
        <a:xfrm>
          <a:off x="0" y="380999"/>
          <a:ext cx="0" cy="990601"/>
          <a:chOff x="12153900" y="2990850"/>
          <a:chExt cx="2861257" cy="1875740"/>
        </a:xfrm>
      </xdr:grpSpPr>
      <xdr:pic>
        <xdr:nvPicPr>
          <xdr:cNvPr id="6" name="Picture 5">
            <a:extLst>
              <a:ext uri="{FF2B5EF4-FFF2-40B4-BE49-F238E27FC236}">
                <a16:creationId xmlns:a16="http://schemas.microsoft.com/office/drawing/2014/main" id="{78D64506-6296-4E95-A824-D91AC3F7E5D1}"/>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7" name="Picture 6">
            <a:extLst>
              <a:ext uri="{FF2B5EF4-FFF2-40B4-BE49-F238E27FC236}">
                <a16:creationId xmlns:a16="http://schemas.microsoft.com/office/drawing/2014/main" id="{737EC5F6-B553-41D7-9CC0-7EE12988D00D}"/>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oneCellAnchor>
    <xdr:from>
      <xdr:col>55</xdr:col>
      <xdr:colOff>388198</xdr:colOff>
      <xdr:row>1</xdr:row>
      <xdr:rowOff>9524</xdr:rowOff>
    </xdr:from>
    <xdr:ext cx="1309333" cy="593304"/>
    <xdr:sp macro="" textlink="">
      <xdr:nvSpPr>
        <xdr:cNvPr id="8" name="Rectangle 7">
          <a:extLst>
            <a:ext uri="{FF2B5EF4-FFF2-40B4-BE49-F238E27FC236}">
              <a16:creationId xmlns:a16="http://schemas.microsoft.com/office/drawing/2014/main" id="{3566083D-1F49-4F02-BDB3-C34040BDCE98}"/>
            </a:ext>
          </a:extLst>
        </xdr:cNvPr>
        <xdr:cNvSpPr/>
      </xdr:nvSpPr>
      <xdr:spPr>
        <a:xfrm>
          <a:off x="63662773" y="200024"/>
          <a:ext cx="1309333" cy="593304"/>
        </a:xfrm>
        <a:prstGeom prst="rect">
          <a:avLst/>
        </a:prstGeom>
        <a:noFill/>
      </xdr:spPr>
      <xdr:txBody>
        <a:bodyPr wrap="none" lIns="91440" tIns="45720" rIns="91440" bIns="45720">
          <a:spAutoFit/>
        </a:bodyPr>
        <a:lstStyle/>
        <a:p>
          <a:pPr algn="ctr"/>
          <a:r>
            <a:rPr lang="en-US" sz="32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clientData/>
  </xdr:oneCellAnchor>
  <xdr:twoCellAnchor>
    <xdr:from>
      <xdr:col>0</xdr:col>
      <xdr:colOff>0</xdr:colOff>
      <xdr:row>29</xdr:row>
      <xdr:rowOff>0</xdr:rowOff>
    </xdr:from>
    <xdr:to>
      <xdr:col>0</xdr:col>
      <xdr:colOff>0</xdr:colOff>
      <xdr:row>34</xdr:row>
      <xdr:rowOff>118102</xdr:rowOff>
    </xdr:to>
    <xdr:grpSp>
      <xdr:nvGrpSpPr>
        <xdr:cNvPr id="9" name="Group 8">
          <a:extLst>
            <a:ext uri="{FF2B5EF4-FFF2-40B4-BE49-F238E27FC236}">
              <a16:creationId xmlns:a16="http://schemas.microsoft.com/office/drawing/2014/main" id="{19FC0356-E2B5-4032-9B46-6BBF2B9A196C}"/>
            </a:ext>
          </a:extLst>
        </xdr:cNvPr>
        <xdr:cNvGrpSpPr/>
      </xdr:nvGrpSpPr>
      <xdr:grpSpPr>
        <a:xfrm>
          <a:off x="0" y="5524500"/>
          <a:ext cx="0" cy="1070602"/>
          <a:chOff x="8572500" y="3876675"/>
          <a:chExt cx="5882031" cy="2861302"/>
        </a:xfrm>
      </xdr:grpSpPr>
      <xdr:pic>
        <xdr:nvPicPr>
          <xdr:cNvPr id="10" name="Picture 9">
            <a:extLst>
              <a:ext uri="{FF2B5EF4-FFF2-40B4-BE49-F238E27FC236}">
                <a16:creationId xmlns:a16="http://schemas.microsoft.com/office/drawing/2014/main" id="{5EE1C374-15A7-442F-8681-9507485F6DCC}"/>
              </a:ext>
            </a:extLst>
          </xdr:cNvPr>
          <xdr:cNvPicPr>
            <a:picLocks noChangeAspect="1"/>
          </xdr:cNvPicPr>
        </xdr:nvPicPr>
        <xdr:blipFill>
          <a:blip xmlns:r="http://schemas.openxmlformats.org/officeDocument/2006/relationships" r:embed="rId3"/>
          <a:stretch>
            <a:fillRect/>
          </a:stretch>
        </xdr:blipFill>
        <xdr:spPr>
          <a:xfrm>
            <a:off x="8572500" y="3876675"/>
            <a:ext cx="5882031" cy="2861302"/>
          </a:xfrm>
          <a:prstGeom prst="rect">
            <a:avLst/>
          </a:prstGeom>
        </xdr:spPr>
      </xdr:pic>
      <xdr:pic>
        <xdr:nvPicPr>
          <xdr:cNvPr id="11" name="Picture 10">
            <a:extLst>
              <a:ext uri="{FF2B5EF4-FFF2-40B4-BE49-F238E27FC236}">
                <a16:creationId xmlns:a16="http://schemas.microsoft.com/office/drawing/2014/main" id="{846B3259-BCB3-40C2-B3EB-3243DBE2E727}"/>
              </a:ext>
            </a:extLst>
          </xdr:cNvPr>
          <xdr:cNvPicPr>
            <a:picLocks noChangeAspect="1"/>
          </xdr:cNvPicPr>
        </xdr:nvPicPr>
        <xdr:blipFill>
          <a:blip xmlns:r="http://schemas.openxmlformats.org/officeDocument/2006/relationships" r:embed="rId4"/>
          <a:stretch>
            <a:fillRect/>
          </a:stretch>
        </xdr:blipFill>
        <xdr:spPr>
          <a:xfrm>
            <a:off x="11582400" y="4730026"/>
            <a:ext cx="537973" cy="1051495"/>
          </a:xfrm>
          <a:prstGeom prst="rect">
            <a:avLst/>
          </a:prstGeom>
        </xdr:spPr>
      </xdr:pic>
    </xdr:grpSp>
    <xdr:clientData/>
  </xdr:twoCellAnchor>
  <xdr:twoCellAnchor editAs="oneCell">
    <xdr:from>
      <xdr:col>56</xdr:col>
      <xdr:colOff>0</xdr:colOff>
      <xdr:row>17</xdr:row>
      <xdr:rowOff>0</xdr:rowOff>
    </xdr:from>
    <xdr:to>
      <xdr:col>56</xdr:col>
      <xdr:colOff>304800</xdr:colOff>
      <xdr:row>18</xdr:row>
      <xdr:rowOff>114300</xdr:rowOff>
    </xdr:to>
    <xdr:sp macro="" textlink="">
      <xdr:nvSpPr>
        <xdr:cNvPr id="12" name="AutoShape 3" descr="Transparent Background Calculator Clipart">
          <a:extLst>
            <a:ext uri="{FF2B5EF4-FFF2-40B4-BE49-F238E27FC236}">
              <a16:creationId xmlns:a16="http://schemas.microsoft.com/office/drawing/2014/main" id="{A6B111A4-8053-4B7A-8833-7754096696C1}"/>
            </a:ext>
          </a:extLst>
        </xdr:cNvPr>
        <xdr:cNvSpPr>
          <a:spLocks noChangeAspect="1" noChangeArrowheads="1"/>
        </xdr:cNvSpPr>
      </xdr:nvSpPr>
      <xdr:spPr bwMode="auto">
        <a:xfrm>
          <a:off x="638841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54</xdr:col>
      <xdr:colOff>466724</xdr:colOff>
      <xdr:row>2</xdr:row>
      <xdr:rowOff>152400</xdr:rowOff>
    </xdr:from>
    <xdr:to>
      <xdr:col>58</xdr:col>
      <xdr:colOff>428624</xdr:colOff>
      <xdr:row>15</xdr:row>
      <xdr:rowOff>76200</xdr:rowOff>
    </xdr:to>
    <xdr:pic>
      <xdr:nvPicPr>
        <xdr:cNvPr id="13" name="Picture 12" descr="Transparent Background Calculator Clipart">
          <a:extLst>
            <a:ext uri="{FF2B5EF4-FFF2-40B4-BE49-F238E27FC236}">
              <a16:creationId xmlns:a16="http://schemas.microsoft.com/office/drawing/2014/main" id="{F2AA5DBF-B345-4853-91E8-F83B5B1D97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131699" y="533400"/>
          <a:ext cx="24003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565150</xdr:colOff>
      <xdr:row>20</xdr:row>
      <xdr:rowOff>155575</xdr:rowOff>
    </xdr:from>
    <xdr:to>
      <xdr:col>51</xdr:col>
      <xdr:colOff>1552745</xdr:colOff>
      <xdr:row>26</xdr:row>
      <xdr:rowOff>59640</xdr:rowOff>
    </xdr:to>
    <xdr:pic>
      <xdr:nvPicPr>
        <xdr:cNvPr id="14" name="Picture 13">
          <a:extLst>
            <a:ext uri="{FF2B5EF4-FFF2-40B4-BE49-F238E27FC236}">
              <a16:creationId xmlns:a16="http://schemas.microsoft.com/office/drawing/2014/main" id="{0EBA5171-4C12-4C92-B0B5-D9B62E989892}"/>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57172225" y="3965575"/>
          <a:ext cx="1597195" cy="1047065"/>
        </a:xfrm>
        <a:prstGeom prst="rect">
          <a:avLst/>
        </a:prstGeom>
      </xdr:spPr>
    </xdr:pic>
    <xdr:clientData/>
  </xdr:twoCellAnchor>
  <xdr:twoCellAnchor>
    <xdr:from>
      <xdr:col>52</xdr:col>
      <xdr:colOff>349252</xdr:colOff>
      <xdr:row>20</xdr:row>
      <xdr:rowOff>123826</xdr:rowOff>
    </xdr:from>
    <xdr:to>
      <xdr:col>53</xdr:col>
      <xdr:colOff>306388</xdr:colOff>
      <xdr:row>25</xdr:row>
      <xdr:rowOff>187327</xdr:rowOff>
    </xdr:to>
    <xdr:grpSp>
      <xdr:nvGrpSpPr>
        <xdr:cNvPr id="15" name="Group 14">
          <a:extLst>
            <a:ext uri="{FF2B5EF4-FFF2-40B4-BE49-F238E27FC236}">
              <a16:creationId xmlns:a16="http://schemas.microsoft.com/office/drawing/2014/main" id="{1AB3526B-8439-4AB7-BD37-3245068D899F}"/>
            </a:ext>
          </a:extLst>
        </xdr:cNvPr>
        <xdr:cNvGrpSpPr/>
      </xdr:nvGrpSpPr>
      <xdr:grpSpPr>
        <a:xfrm>
          <a:off x="60271027" y="3933826"/>
          <a:ext cx="2033586" cy="1016001"/>
          <a:chOff x="60683775" y="2828925"/>
          <a:chExt cx="2308426" cy="1122929"/>
        </a:xfrm>
      </xdr:grpSpPr>
      <xdr:pic>
        <xdr:nvPicPr>
          <xdr:cNvPr id="16" name="Picture 15">
            <a:extLst>
              <a:ext uri="{FF2B5EF4-FFF2-40B4-BE49-F238E27FC236}">
                <a16:creationId xmlns:a16="http://schemas.microsoft.com/office/drawing/2014/main" id="{9EEDCE55-4301-4443-A225-4ED75F77F224}"/>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17" name="Picture 16">
            <a:extLst>
              <a:ext uri="{FF2B5EF4-FFF2-40B4-BE49-F238E27FC236}">
                <a16:creationId xmlns:a16="http://schemas.microsoft.com/office/drawing/2014/main" id="{17173D64-28B8-415D-99AB-80FB429EB8B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xdr:from>
      <xdr:col>51</xdr:col>
      <xdr:colOff>1897062</xdr:colOff>
      <xdr:row>23</xdr:row>
      <xdr:rowOff>30163</xdr:rowOff>
    </xdr:from>
    <xdr:to>
      <xdr:col>51</xdr:col>
      <xdr:colOff>2573337</xdr:colOff>
      <xdr:row>24</xdr:row>
      <xdr:rowOff>30163</xdr:rowOff>
    </xdr:to>
    <xdr:sp macro="" textlink="">
      <xdr:nvSpPr>
        <xdr:cNvPr id="18" name="Arrow: Right 17">
          <a:extLst>
            <a:ext uri="{FF2B5EF4-FFF2-40B4-BE49-F238E27FC236}">
              <a16:creationId xmlns:a16="http://schemas.microsoft.com/office/drawing/2014/main" id="{E85AF73A-1085-4A88-AAEC-00590D620D75}"/>
            </a:ext>
          </a:extLst>
        </xdr:cNvPr>
        <xdr:cNvSpPr/>
      </xdr:nvSpPr>
      <xdr:spPr>
        <a:xfrm>
          <a:off x="59113737" y="4411663"/>
          <a:ext cx="67627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174625</xdr:colOff>
      <xdr:row>11</xdr:row>
      <xdr:rowOff>111125</xdr:rowOff>
    </xdr:from>
    <xdr:to>
      <xdr:col>51</xdr:col>
      <xdr:colOff>1698625</xdr:colOff>
      <xdr:row>15</xdr:row>
      <xdr:rowOff>141606</xdr:rowOff>
    </xdr:to>
    <xdr:pic>
      <xdr:nvPicPr>
        <xdr:cNvPr id="19" name="Picture 18" descr="SP Energy Networks | LinkedIn">
          <a:extLst>
            <a:ext uri="{FF2B5EF4-FFF2-40B4-BE49-F238E27FC236}">
              <a16:creationId xmlns:a16="http://schemas.microsoft.com/office/drawing/2014/main" id="{D210F4FC-1FE8-473B-BCBB-AC3B857030E8}"/>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2500" b="25500"/>
        <a:stretch/>
      </xdr:blipFill>
      <xdr:spPr bwMode="auto">
        <a:xfrm>
          <a:off x="57391300" y="2206625"/>
          <a:ext cx="1524000" cy="792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301625</xdr:colOff>
      <xdr:row>15</xdr:row>
      <xdr:rowOff>15873</xdr:rowOff>
    </xdr:from>
    <xdr:to>
      <xdr:col>58</xdr:col>
      <xdr:colOff>55562</xdr:colOff>
      <xdr:row>21</xdr:row>
      <xdr:rowOff>131533</xdr:rowOff>
    </xdr:to>
    <xdr:pic>
      <xdr:nvPicPr>
        <xdr:cNvPr id="20" name="Picture 19">
          <a:extLst>
            <a:ext uri="{FF2B5EF4-FFF2-40B4-BE49-F238E27FC236}">
              <a16:creationId xmlns:a16="http://schemas.microsoft.com/office/drawing/2014/main" id="{C03FDAB4-88BB-4909-8FA0-80F0AA94F20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6200" y="2873373"/>
          <a:ext cx="1582737" cy="1258660"/>
        </a:xfrm>
        <a:prstGeom prst="rect">
          <a:avLst/>
        </a:prstGeom>
        <a:noFill/>
        <a:ln>
          <a:noFill/>
        </a:ln>
      </xdr:spPr>
    </xdr:pic>
    <xdr:clientData/>
  </xdr:twoCellAnchor>
  <xdr:twoCellAnchor>
    <xdr:from>
      <xdr:col>50</xdr:col>
      <xdr:colOff>523875</xdr:colOff>
      <xdr:row>26</xdr:row>
      <xdr:rowOff>171450</xdr:rowOff>
    </xdr:from>
    <xdr:to>
      <xdr:col>59</xdr:col>
      <xdr:colOff>445611</xdr:colOff>
      <xdr:row>29</xdr:row>
      <xdr:rowOff>61615</xdr:rowOff>
    </xdr:to>
    <xdr:grpSp>
      <xdr:nvGrpSpPr>
        <xdr:cNvPr id="21" name="Group 20">
          <a:extLst>
            <a:ext uri="{FF2B5EF4-FFF2-40B4-BE49-F238E27FC236}">
              <a16:creationId xmlns:a16="http://schemas.microsoft.com/office/drawing/2014/main" id="{E693AF6F-BAE6-4512-A0CD-4193FD7B4D01}"/>
            </a:ext>
          </a:extLst>
        </xdr:cNvPr>
        <xdr:cNvGrpSpPr/>
      </xdr:nvGrpSpPr>
      <xdr:grpSpPr>
        <a:xfrm>
          <a:off x="57130950" y="5124450"/>
          <a:ext cx="9027636" cy="461665"/>
          <a:chOff x="501353" y="1993652"/>
          <a:chExt cx="9065736" cy="461665"/>
        </a:xfrm>
      </xdr:grpSpPr>
      <xdr:pic>
        <xdr:nvPicPr>
          <xdr:cNvPr id="22" name="Picture 21">
            <a:extLst>
              <a:ext uri="{FF2B5EF4-FFF2-40B4-BE49-F238E27FC236}">
                <a16:creationId xmlns:a16="http://schemas.microsoft.com/office/drawing/2014/main" id="{252E326A-30B9-459D-A342-DDE44E9C4CB7}"/>
              </a:ext>
            </a:extLst>
          </xdr:cNvPr>
          <xdr:cNvPicPr>
            <a:picLocks noChangeAspect="1"/>
          </xdr:cNvPicPr>
        </xdr:nvPicPr>
        <xdr:blipFill rotWithShape="1">
          <a:blip xmlns:r="http://schemas.openxmlformats.org/officeDocument/2006/relationships" r:embed="rId9"/>
          <a:srcRect t="-1" r="29452" b="-10230"/>
          <a:stretch/>
        </xdr:blipFill>
        <xdr:spPr>
          <a:xfrm>
            <a:off x="501353" y="2204864"/>
            <a:ext cx="6323855" cy="250453"/>
          </a:xfrm>
          <a:prstGeom prst="rect">
            <a:avLst/>
          </a:prstGeom>
        </xdr:spPr>
      </xdr:pic>
      <xdr:pic>
        <xdr:nvPicPr>
          <xdr:cNvPr id="23" name="Picture 22">
            <a:extLst>
              <a:ext uri="{FF2B5EF4-FFF2-40B4-BE49-F238E27FC236}">
                <a16:creationId xmlns:a16="http://schemas.microsoft.com/office/drawing/2014/main" id="{0F108D8B-16F8-49E1-9486-A19D8D0BB990}"/>
              </a:ext>
            </a:extLst>
          </xdr:cNvPr>
          <xdr:cNvPicPr>
            <a:picLocks noChangeAspect="1"/>
          </xdr:cNvPicPr>
        </xdr:nvPicPr>
        <xdr:blipFill rotWithShape="1">
          <a:blip xmlns:r="http://schemas.openxmlformats.org/officeDocument/2006/relationships" r:embed="rId9"/>
          <a:srcRect l="70691" t="5811"/>
          <a:stretch/>
        </xdr:blipFill>
        <xdr:spPr>
          <a:xfrm>
            <a:off x="6939793" y="2203748"/>
            <a:ext cx="2627296" cy="214005"/>
          </a:xfrm>
          <a:prstGeom prst="rect">
            <a:avLst/>
          </a:prstGeom>
        </xdr:spPr>
      </xdr:pic>
      <xdr:sp macro="" textlink="">
        <xdr:nvSpPr>
          <xdr:cNvPr id="24" name="Rectangle 23">
            <a:extLst>
              <a:ext uri="{FF2B5EF4-FFF2-40B4-BE49-F238E27FC236}">
                <a16:creationId xmlns:a16="http://schemas.microsoft.com/office/drawing/2014/main" id="{EF7B9A99-51E1-476F-8B59-527F80ADD212}"/>
              </a:ext>
            </a:extLst>
          </xdr:cNvPr>
          <xdr:cNvSpPr/>
        </xdr:nvSpPr>
        <xdr:spPr>
          <a:xfrm>
            <a:off x="6738872" y="1993652"/>
            <a:ext cx="287258" cy="461665"/>
          </a:xfrm>
          <a:prstGeom prst="rect">
            <a:avLst/>
          </a:prstGeom>
        </xdr:spPr>
        <xdr:txBody>
          <a:bodyPr wrap="square">
            <a:spAutoFit/>
          </a:bodyPr>
          <a:lstStyle>
            <a:defPPr>
              <a:defRPr lang="es-ES_tradnl"/>
            </a:defPPr>
            <a:lvl1pPr algn="l" rtl="0" fontAlgn="base">
              <a:spcBef>
                <a:spcPct val="0"/>
              </a:spcBef>
              <a:spcAft>
                <a:spcPct val="0"/>
              </a:spcAft>
              <a:defRPr sz="2800" kern="1200">
                <a:solidFill>
                  <a:srgbClr val="447D1B"/>
                </a:solidFill>
                <a:latin typeface="Arial" pitchFamily="34" charset="0"/>
                <a:ea typeface="+mn-ea"/>
                <a:cs typeface="+mn-cs"/>
              </a:defRPr>
            </a:lvl1pPr>
            <a:lvl2pPr marL="457097" algn="l" rtl="0" fontAlgn="base">
              <a:spcBef>
                <a:spcPct val="0"/>
              </a:spcBef>
              <a:spcAft>
                <a:spcPct val="0"/>
              </a:spcAft>
              <a:defRPr sz="2800" kern="1200">
                <a:solidFill>
                  <a:srgbClr val="447D1B"/>
                </a:solidFill>
                <a:latin typeface="Arial" pitchFamily="34" charset="0"/>
                <a:ea typeface="+mn-ea"/>
                <a:cs typeface="+mn-cs"/>
              </a:defRPr>
            </a:lvl2pPr>
            <a:lvl3pPr marL="914192" algn="l" rtl="0" fontAlgn="base">
              <a:spcBef>
                <a:spcPct val="0"/>
              </a:spcBef>
              <a:spcAft>
                <a:spcPct val="0"/>
              </a:spcAft>
              <a:defRPr sz="2800" kern="1200">
                <a:solidFill>
                  <a:srgbClr val="447D1B"/>
                </a:solidFill>
                <a:latin typeface="Arial" pitchFamily="34" charset="0"/>
                <a:ea typeface="+mn-ea"/>
                <a:cs typeface="+mn-cs"/>
              </a:defRPr>
            </a:lvl3pPr>
            <a:lvl4pPr marL="1371289" algn="l" rtl="0" fontAlgn="base">
              <a:spcBef>
                <a:spcPct val="0"/>
              </a:spcBef>
              <a:spcAft>
                <a:spcPct val="0"/>
              </a:spcAft>
              <a:defRPr sz="2800" kern="1200">
                <a:solidFill>
                  <a:srgbClr val="447D1B"/>
                </a:solidFill>
                <a:latin typeface="Arial" pitchFamily="34" charset="0"/>
                <a:ea typeface="+mn-ea"/>
                <a:cs typeface="+mn-cs"/>
              </a:defRPr>
            </a:lvl4pPr>
            <a:lvl5pPr marL="1828384" algn="l" rtl="0" fontAlgn="base">
              <a:spcBef>
                <a:spcPct val="0"/>
              </a:spcBef>
              <a:spcAft>
                <a:spcPct val="0"/>
              </a:spcAft>
              <a:defRPr sz="2800" kern="1200">
                <a:solidFill>
                  <a:srgbClr val="447D1B"/>
                </a:solidFill>
                <a:latin typeface="Arial" pitchFamily="34" charset="0"/>
                <a:ea typeface="+mn-ea"/>
                <a:cs typeface="+mn-cs"/>
              </a:defRPr>
            </a:lvl5pPr>
            <a:lvl6pPr marL="2285480" algn="l" defTabSz="914192" rtl="0" eaLnBrk="1" latinLnBrk="0" hangingPunct="1">
              <a:defRPr sz="2800" kern="1200">
                <a:solidFill>
                  <a:srgbClr val="447D1B"/>
                </a:solidFill>
                <a:latin typeface="Arial" pitchFamily="34" charset="0"/>
                <a:ea typeface="+mn-ea"/>
                <a:cs typeface="+mn-cs"/>
              </a:defRPr>
            </a:lvl6pPr>
            <a:lvl7pPr marL="2742576" algn="l" defTabSz="914192" rtl="0" eaLnBrk="1" latinLnBrk="0" hangingPunct="1">
              <a:defRPr sz="2800" kern="1200">
                <a:solidFill>
                  <a:srgbClr val="447D1B"/>
                </a:solidFill>
                <a:latin typeface="Arial" pitchFamily="34" charset="0"/>
                <a:ea typeface="+mn-ea"/>
                <a:cs typeface="+mn-cs"/>
              </a:defRPr>
            </a:lvl7pPr>
            <a:lvl8pPr marL="3199672" algn="l" defTabSz="914192" rtl="0" eaLnBrk="1" latinLnBrk="0" hangingPunct="1">
              <a:defRPr sz="2800" kern="1200">
                <a:solidFill>
                  <a:srgbClr val="447D1B"/>
                </a:solidFill>
                <a:latin typeface="Arial" pitchFamily="34" charset="0"/>
                <a:ea typeface="+mn-ea"/>
                <a:cs typeface="+mn-cs"/>
              </a:defRPr>
            </a:lvl8pPr>
            <a:lvl9pPr marL="3656768" algn="l" defTabSz="914192" rtl="0" eaLnBrk="1" latinLnBrk="0" hangingPunct="1">
              <a:defRPr sz="2800" kern="1200">
                <a:solidFill>
                  <a:srgbClr val="447D1B"/>
                </a:solidFill>
                <a:latin typeface="Arial" pitchFamily="34" charset="0"/>
                <a:ea typeface="+mn-ea"/>
                <a:cs typeface="+mn-cs"/>
              </a:defRPr>
            </a:lvl9pPr>
          </a:lstStyle>
          <a:p>
            <a:r>
              <a:rPr lang="en-GB" sz="2400">
                <a:solidFill>
                  <a:schemeClr val="accent4">
                    <a:lumMod val="10000"/>
                  </a:schemeClr>
                </a:solidFill>
              </a:rPr>
              <a:t>-</a:t>
            </a:r>
          </a:p>
        </xdr:txBody>
      </xdr:sp>
    </xdr:grpSp>
    <xdr:clientData/>
  </xdr:twoCellAnchor>
  <xdr:twoCellAnchor editAs="oneCell">
    <xdr:from>
      <xdr:col>59</xdr:col>
      <xdr:colOff>76200</xdr:colOff>
      <xdr:row>2</xdr:row>
      <xdr:rowOff>152400</xdr:rowOff>
    </xdr:from>
    <xdr:to>
      <xdr:col>65</xdr:col>
      <xdr:colOff>554580</xdr:colOff>
      <xdr:row>19</xdr:row>
      <xdr:rowOff>18516</xdr:rowOff>
    </xdr:to>
    <xdr:pic>
      <xdr:nvPicPr>
        <xdr:cNvPr id="25" name="Picture 24">
          <a:extLst>
            <a:ext uri="{FF2B5EF4-FFF2-40B4-BE49-F238E27FC236}">
              <a16:creationId xmlns:a16="http://schemas.microsoft.com/office/drawing/2014/main" id="{A3CE18A9-BDF5-42AE-B12C-7A3996A5B160}"/>
            </a:ext>
          </a:extLst>
        </xdr:cNvPr>
        <xdr:cNvPicPr>
          <a:picLocks noChangeAspect="1"/>
        </xdr:cNvPicPr>
      </xdr:nvPicPr>
      <xdr:blipFill>
        <a:blip xmlns:r="http://schemas.openxmlformats.org/officeDocument/2006/relationships" r:embed="rId10"/>
        <a:stretch>
          <a:fillRect/>
        </a:stretch>
      </xdr:blipFill>
      <xdr:spPr>
        <a:xfrm>
          <a:off x="65789175" y="533400"/>
          <a:ext cx="4135980" cy="31046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12</xdr:row>
      <xdr:rowOff>9525</xdr:rowOff>
    </xdr:from>
    <xdr:to>
      <xdr:col>0</xdr:col>
      <xdr:colOff>0</xdr:colOff>
      <xdr:row>18</xdr:row>
      <xdr:rowOff>27889</xdr:rowOff>
    </xdr:to>
    <xdr:grpSp>
      <xdr:nvGrpSpPr>
        <xdr:cNvPr id="2" name="Group 1">
          <a:extLst>
            <a:ext uri="{FF2B5EF4-FFF2-40B4-BE49-F238E27FC236}">
              <a16:creationId xmlns:a16="http://schemas.microsoft.com/office/drawing/2014/main" id="{5A5DCE80-0FE4-4839-827B-42424791D2DD}"/>
            </a:ext>
          </a:extLst>
        </xdr:cNvPr>
        <xdr:cNvGrpSpPr/>
      </xdr:nvGrpSpPr>
      <xdr:grpSpPr>
        <a:xfrm>
          <a:off x="0" y="2298700"/>
          <a:ext cx="0" cy="1161364"/>
          <a:chOff x="12153900" y="2990850"/>
          <a:chExt cx="2861257" cy="1875740"/>
        </a:xfrm>
      </xdr:grpSpPr>
      <xdr:pic>
        <xdr:nvPicPr>
          <xdr:cNvPr id="3" name="Picture 2">
            <a:extLst>
              <a:ext uri="{FF2B5EF4-FFF2-40B4-BE49-F238E27FC236}">
                <a16:creationId xmlns:a16="http://schemas.microsoft.com/office/drawing/2014/main" id="{A11C063E-351D-482E-9247-7C512FEC275D}"/>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4" name="Picture 3">
            <a:extLst>
              <a:ext uri="{FF2B5EF4-FFF2-40B4-BE49-F238E27FC236}">
                <a16:creationId xmlns:a16="http://schemas.microsoft.com/office/drawing/2014/main" id="{053C86CB-9490-4BB6-ACA3-78092CB4F8D1}"/>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twoCellAnchor>
    <xdr:from>
      <xdr:col>0</xdr:col>
      <xdr:colOff>0</xdr:colOff>
      <xdr:row>1</xdr:row>
      <xdr:rowOff>190499</xdr:rowOff>
    </xdr:from>
    <xdr:to>
      <xdr:col>0</xdr:col>
      <xdr:colOff>0</xdr:colOff>
      <xdr:row>7</xdr:row>
      <xdr:rowOff>38100</xdr:rowOff>
    </xdr:to>
    <xdr:grpSp>
      <xdr:nvGrpSpPr>
        <xdr:cNvPr id="5" name="Group 4">
          <a:extLst>
            <a:ext uri="{FF2B5EF4-FFF2-40B4-BE49-F238E27FC236}">
              <a16:creationId xmlns:a16="http://schemas.microsoft.com/office/drawing/2014/main" id="{B4374479-2501-4FAE-BC11-942E54B68472}"/>
            </a:ext>
          </a:extLst>
        </xdr:cNvPr>
        <xdr:cNvGrpSpPr/>
      </xdr:nvGrpSpPr>
      <xdr:grpSpPr>
        <a:xfrm>
          <a:off x="0" y="380999"/>
          <a:ext cx="0" cy="990601"/>
          <a:chOff x="12153900" y="2990850"/>
          <a:chExt cx="2861257" cy="1875740"/>
        </a:xfrm>
      </xdr:grpSpPr>
      <xdr:pic>
        <xdr:nvPicPr>
          <xdr:cNvPr id="6" name="Picture 5">
            <a:extLst>
              <a:ext uri="{FF2B5EF4-FFF2-40B4-BE49-F238E27FC236}">
                <a16:creationId xmlns:a16="http://schemas.microsoft.com/office/drawing/2014/main" id="{9CF9B87B-9F6D-4206-9B7A-8EC0B6C0CDA1}"/>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12153900" y="2990850"/>
            <a:ext cx="2861257" cy="1875740"/>
          </a:xfrm>
          <a:prstGeom prst="rect">
            <a:avLst/>
          </a:prstGeom>
        </xdr:spPr>
      </xdr:pic>
      <xdr:pic>
        <xdr:nvPicPr>
          <xdr:cNvPr id="7" name="Picture 6">
            <a:extLst>
              <a:ext uri="{FF2B5EF4-FFF2-40B4-BE49-F238E27FC236}">
                <a16:creationId xmlns:a16="http://schemas.microsoft.com/office/drawing/2014/main" id="{BFC5FAB8-C004-40CA-B0CE-FDB5585D9FFC}"/>
              </a:ext>
            </a:extLst>
          </xdr:cNvPr>
          <xdr:cNvPicPr>
            <a:picLocks noChangeAspect="1"/>
          </xdr:cNvPicPr>
        </xdr:nvPicPr>
        <xdr:blipFill>
          <a:blip xmlns:r="http://schemas.openxmlformats.org/officeDocument/2006/relationships" r:embed="rId2"/>
          <a:stretch>
            <a:fillRect/>
          </a:stretch>
        </xdr:blipFill>
        <xdr:spPr>
          <a:xfrm>
            <a:off x="13725525" y="3629025"/>
            <a:ext cx="325817" cy="561843"/>
          </a:xfrm>
          <a:prstGeom prst="rect">
            <a:avLst/>
          </a:prstGeom>
        </xdr:spPr>
      </xdr:pic>
    </xdr:grpSp>
    <xdr:clientData/>
  </xdr:twoCellAnchor>
  <xdr:oneCellAnchor>
    <xdr:from>
      <xdr:col>55</xdr:col>
      <xdr:colOff>388198</xdr:colOff>
      <xdr:row>1</xdr:row>
      <xdr:rowOff>9524</xdr:rowOff>
    </xdr:from>
    <xdr:ext cx="1309333" cy="593304"/>
    <xdr:sp macro="" textlink="">
      <xdr:nvSpPr>
        <xdr:cNvPr id="8" name="Rectangle 7">
          <a:extLst>
            <a:ext uri="{FF2B5EF4-FFF2-40B4-BE49-F238E27FC236}">
              <a16:creationId xmlns:a16="http://schemas.microsoft.com/office/drawing/2014/main" id="{EC6C0FDE-E180-4726-98AF-168399827EDD}"/>
            </a:ext>
          </a:extLst>
        </xdr:cNvPr>
        <xdr:cNvSpPr/>
      </xdr:nvSpPr>
      <xdr:spPr>
        <a:xfrm>
          <a:off x="63662773" y="200024"/>
          <a:ext cx="1309333" cy="593304"/>
        </a:xfrm>
        <a:prstGeom prst="rect">
          <a:avLst/>
        </a:prstGeom>
        <a:noFill/>
      </xdr:spPr>
      <xdr:txBody>
        <a:bodyPr wrap="none" lIns="91440" tIns="45720" rIns="91440" bIns="45720">
          <a:spAutoFit/>
        </a:bodyPr>
        <a:lstStyle/>
        <a:p>
          <a:pPr algn="ctr"/>
          <a:r>
            <a:rPr lang="en-US" sz="3200" b="1" cap="none" spc="0">
              <a:ln w="9525">
                <a:solidFill>
                  <a:schemeClr val="accent2">
                    <a:lumMod val="75000"/>
                  </a:schemeClr>
                </a:solidFill>
                <a:prstDash val="solid"/>
              </a:ln>
              <a:solidFill>
                <a:schemeClr val="accent6">
                  <a:lumMod val="75000"/>
                </a:schemeClr>
              </a:solidFill>
              <a:effectLst>
                <a:outerShdw blurRad="12700" dist="38100" dir="2700000" algn="tl" rotWithShape="0">
                  <a:schemeClr val="accent5">
                    <a:lumMod val="60000"/>
                    <a:lumOff val="40000"/>
                  </a:schemeClr>
                </a:outerShdw>
              </a:effectLst>
            </a:rPr>
            <a:t>ADMD</a:t>
          </a:r>
        </a:p>
      </xdr:txBody>
    </xdr:sp>
    <xdr:clientData/>
  </xdr:oneCellAnchor>
  <xdr:twoCellAnchor>
    <xdr:from>
      <xdr:col>0</xdr:col>
      <xdr:colOff>0</xdr:colOff>
      <xdr:row>29</xdr:row>
      <xdr:rowOff>0</xdr:rowOff>
    </xdr:from>
    <xdr:to>
      <xdr:col>0</xdr:col>
      <xdr:colOff>0</xdr:colOff>
      <xdr:row>34</xdr:row>
      <xdr:rowOff>118102</xdr:rowOff>
    </xdr:to>
    <xdr:grpSp>
      <xdr:nvGrpSpPr>
        <xdr:cNvPr id="9" name="Group 8">
          <a:extLst>
            <a:ext uri="{FF2B5EF4-FFF2-40B4-BE49-F238E27FC236}">
              <a16:creationId xmlns:a16="http://schemas.microsoft.com/office/drawing/2014/main" id="{B334E562-C808-42C0-AA60-51EC12E1ADB4}"/>
            </a:ext>
          </a:extLst>
        </xdr:cNvPr>
        <xdr:cNvGrpSpPr/>
      </xdr:nvGrpSpPr>
      <xdr:grpSpPr>
        <a:xfrm>
          <a:off x="0" y="5524500"/>
          <a:ext cx="0" cy="1070602"/>
          <a:chOff x="8572500" y="3876675"/>
          <a:chExt cx="5882031" cy="2861302"/>
        </a:xfrm>
      </xdr:grpSpPr>
      <xdr:pic>
        <xdr:nvPicPr>
          <xdr:cNvPr id="10" name="Picture 9">
            <a:extLst>
              <a:ext uri="{FF2B5EF4-FFF2-40B4-BE49-F238E27FC236}">
                <a16:creationId xmlns:a16="http://schemas.microsoft.com/office/drawing/2014/main" id="{53C48EC8-A7D8-4E47-932E-974A47D532E4}"/>
              </a:ext>
            </a:extLst>
          </xdr:cNvPr>
          <xdr:cNvPicPr>
            <a:picLocks noChangeAspect="1"/>
          </xdr:cNvPicPr>
        </xdr:nvPicPr>
        <xdr:blipFill>
          <a:blip xmlns:r="http://schemas.openxmlformats.org/officeDocument/2006/relationships" r:embed="rId3"/>
          <a:stretch>
            <a:fillRect/>
          </a:stretch>
        </xdr:blipFill>
        <xdr:spPr>
          <a:xfrm>
            <a:off x="8572500" y="3876675"/>
            <a:ext cx="5882031" cy="2861302"/>
          </a:xfrm>
          <a:prstGeom prst="rect">
            <a:avLst/>
          </a:prstGeom>
        </xdr:spPr>
      </xdr:pic>
      <xdr:pic>
        <xdr:nvPicPr>
          <xdr:cNvPr id="11" name="Picture 10">
            <a:extLst>
              <a:ext uri="{FF2B5EF4-FFF2-40B4-BE49-F238E27FC236}">
                <a16:creationId xmlns:a16="http://schemas.microsoft.com/office/drawing/2014/main" id="{9B92C3F7-E07F-4227-AE8A-D8A215161C9D}"/>
              </a:ext>
            </a:extLst>
          </xdr:cNvPr>
          <xdr:cNvPicPr>
            <a:picLocks noChangeAspect="1"/>
          </xdr:cNvPicPr>
        </xdr:nvPicPr>
        <xdr:blipFill>
          <a:blip xmlns:r="http://schemas.openxmlformats.org/officeDocument/2006/relationships" r:embed="rId4"/>
          <a:stretch>
            <a:fillRect/>
          </a:stretch>
        </xdr:blipFill>
        <xdr:spPr>
          <a:xfrm>
            <a:off x="11582400" y="4730026"/>
            <a:ext cx="537973" cy="1051495"/>
          </a:xfrm>
          <a:prstGeom prst="rect">
            <a:avLst/>
          </a:prstGeom>
        </xdr:spPr>
      </xdr:pic>
    </xdr:grpSp>
    <xdr:clientData/>
  </xdr:twoCellAnchor>
  <xdr:twoCellAnchor editAs="oneCell">
    <xdr:from>
      <xdr:col>56</xdr:col>
      <xdr:colOff>0</xdr:colOff>
      <xdr:row>17</xdr:row>
      <xdr:rowOff>0</xdr:rowOff>
    </xdr:from>
    <xdr:to>
      <xdr:col>56</xdr:col>
      <xdr:colOff>304800</xdr:colOff>
      <xdr:row>18</xdr:row>
      <xdr:rowOff>114300</xdr:rowOff>
    </xdr:to>
    <xdr:sp macro="" textlink="">
      <xdr:nvSpPr>
        <xdr:cNvPr id="12" name="AutoShape 3" descr="Transparent Background Calculator Clipart">
          <a:extLst>
            <a:ext uri="{FF2B5EF4-FFF2-40B4-BE49-F238E27FC236}">
              <a16:creationId xmlns:a16="http://schemas.microsoft.com/office/drawing/2014/main" id="{371F4539-0B09-4955-9B98-CF34DA71333B}"/>
            </a:ext>
          </a:extLst>
        </xdr:cNvPr>
        <xdr:cNvSpPr>
          <a:spLocks noChangeAspect="1" noChangeArrowheads="1"/>
        </xdr:cNvSpPr>
      </xdr:nvSpPr>
      <xdr:spPr bwMode="auto">
        <a:xfrm>
          <a:off x="638841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54</xdr:col>
      <xdr:colOff>466724</xdr:colOff>
      <xdr:row>2</xdr:row>
      <xdr:rowOff>152400</xdr:rowOff>
    </xdr:from>
    <xdr:to>
      <xdr:col>58</xdr:col>
      <xdr:colOff>428624</xdr:colOff>
      <xdr:row>15</xdr:row>
      <xdr:rowOff>76200</xdr:rowOff>
    </xdr:to>
    <xdr:pic>
      <xdr:nvPicPr>
        <xdr:cNvPr id="13" name="Picture 12" descr="Transparent Background Calculator Clipart">
          <a:extLst>
            <a:ext uri="{FF2B5EF4-FFF2-40B4-BE49-F238E27FC236}">
              <a16:creationId xmlns:a16="http://schemas.microsoft.com/office/drawing/2014/main" id="{D4CF4C08-A5C7-4BDD-8592-928FCECC2D1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131699" y="533400"/>
          <a:ext cx="24003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50</xdr:col>
      <xdr:colOff>565150</xdr:colOff>
      <xdr:row>20</xdr:row>
      <xdr:rowOff>155575</xdr:rowOff>
    </xdr:from>
    <xdr:to>
      <xdr:col>51</xdr:col>
      <xdr:colOff>1552745</xdr:colOff>
      <xdr:row>26</xdr:row>
      <xdr:rowOff>59640</xdr:rowOff>
    </xdr:to>
    <xdr:pic>
      <xdr:nvPicPr>
        <xdr:cNvPr id="14" name="Picture 13">
          <a:extLst>
            <a:ext uri="{FF2B5EF4-FFF2-40B4-BE49-F238E27FC236}">
              <a16:creationId xmlns:a16="http://schemas.microsoft.com/office/drawing/2014/main" id="{F9811B7E-0A73-468F-B300-6F849D763F68}"/>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57172225" y="3965575"/>
          <a:ext cx="1597195" cy="1047065"/>
        </a:xfrm>
        <a:prstGeom prst="rect">
          <a:avLst/>
        </a:prstGeom>
      </xdr:spPr>
    </xdr:pic>
    <xdr:clientData/>
  </xdr:twoCellAnchor>
  <xdr:twoCellAnchor>
    <xdr:from>
      <xdr:col>52</xdr:col>
      <xdr:colOff>349252</xdr:colOff>
      <xdr:row>20</xdr:row>
      <xdr:rowOff>123826</xdr:rowOff>
    </xdr:from>
    <xdr:to>
      <xdr:col>53</xdr:col>
      <xdr:colOff>306388</xdr:colOff>
      <xdr:row>25</xdr:row>
      <xdr:rowOff>187327</xdr:rowOff>
    </xdr:to>
    <xdr:grpSp>
      <xdr:nvGrpSpPr>
        <xdr:cNvPr id="15" name="Group 14">
          <a:extLst>
            <a:ext uri="{FF2B5EF4-FFF2-40B4-BE49-F238E27FC236}">
              <a16:creationId xmlns:a16="http://schemas.microsoft.com/office/drawing/2014/main" id="{AF9376CA-2235-47DD-A67C-238255A07AC7}"/>
            </a:ext>
          </a:extLst>
        </xdr:cNvPr>
        <xdr:cNvGrpSpPr/>
      </xdr:nvGrpSpPr>
      <xdr:grpSpPr>
        <a:xfrm>
          <a:off x="60290077" y="3937001"/>
          <a:ext cx="2030411" cy="1012826"/>
          <a:chOff x="60683775" y="2828925"/>
          <a:chExt cx="2308426" cy="1122929"/>
        </a:xfrm>
      </xdr:grpSpPr>
      <xdr:pic>
        <xdr:nvPicPr>
          <xdr:cNvPr id="16" name="Picture 15">
            <a:extLst>
              <a:ext uri="{FF2B5EF4-FFF2-40B4-BE49-F238E27FC236}">
                <a16:creationId xmlns:a16="http://schemas.microsoft.com/office/drawing/2014/main" id="{1F7601A7-0E9E-439A-B0E0-5F4EEF725B76}"/>
              </a:ext>
            </a:extLst>
          </xdr:cNvPr>
          <xdr:cNvPicPr>
            <a:picLocks noChangeAspect="1"/>
          </xdr:cNvPicPr>
        </xdr:nvPicPr>
        <xdr:blipFill>
          <a:blip xmlns:r="http://schemas.openxmlformats.org/officeDocument/2006/relationships" r:embed="rId3"/>
          <a:stretch>
            <a:fillRect/>
          </a:stretch>
        </xdr:blipFill>
        <xdr:spPr>
          <a:xfrm>
            <a:off x="60683775" y="2828925"/>
            <a:ext cx="2308426" cy="1122929"/>
          </a:xfrm>
          <a:prstGeom prst="rect">
            <a:avLst/>
          </a:prstGeom>
        </xdr:spPr>
      </xdr:pic>
      <xdr:pic>
        <xdr:nvPicPr>
          <xdr:cNvPr id="17" name="Picture 16">
            <a:extLst>
              <a:ext uri="{FF2B5EF4-FFF2-40B4-BE49-F238E27FC236}">
                <a16:creationId xmlns:a16="http://schemas.microsoft.com/office/drawing/2014/main" id="{C4631AED-A03B-48E9-96CD-46CC9848B64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twoCellAnchor>
    <xdr:from>
      <xdr:col>51</xdr:col>
      <xdr:colOff>1897062</xdr:colOff>
      <xdr:row>23</xdr:row>
      <xdr:rowOff>30163</xdr:rowOff>
    </xdr:from>
    <xdr:to>
      <xdr:col>51</xdr:col>
      <xdr:colOff>2573337</xdr:colOff>
      <xdr:row>24</xdr:row>
      <xdr:rowOff>30163</xdr:rowOff>
    </xdr:to>
    <xdr:sp macro="" textlink="">
      <xdr:nvSpPr>
        <xdr:cNvPr id="18" name="Arrow: Right 17">
          <a:extLst>
            <a:ext uri="{FF2B5EF4-FFF2-40B4-BE49-F238E27FC236}">
              <a16:creationId xmlns:a16="http://schemas.microsoft.com/office/drawing/2014/main" id="{382520FE-09FE-42C0-ABD5-E13291C48E2C}"/>
            </a:ext>
          </a:extLst>
        </xdr:cNvPr>
        <xdr:cNvSpPr/>
      </xdr:nvSpPr>
      <xdr:spPr>
        <a:xfrm>
          <a:off x="59113737" y="4411663"/>
          <a:ext cx="676275"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174625</xdr:colOff>
      <xdr:row>11</xdr:row>
      <xdr:rowOff>111125</xdr:rowOff>
    </xdr:from>
    <xdr:to>
      <xdr:col>51</xdr:col>
      <xdr:colOff>1698625</xdr:colOff>
      <xdr:row>15</xdr:row>
      <xdr:rowOff>141606</xdr:rowOff>
    </xdr:to>
    <xdr:pic>
      <xdr:nvPicPr>
        <xdr:cNvPr id="19" name="Picture 18" descr="SP Energy Networks | LinkedIn">
          <a:extLst>
            <a:ext uri="{FF2B5EF4-FFF2-40B4-BE49-F238E27FC236}">
              <a16:creationId xmlns:a16="http://schemas.microsoft.com/office/drawing/2014/main" id="{B1C4DBF3-C7B2-4644-A8D5-809AE776E3AA}"/>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2500" b="25500"/>
        <a:stretch/>
      </xdr:blipFill>
      <xdr:spPr bwMode="auto">
        <a:xfrm>
          <a:off x="57391300" y="2206625"/>
          <a:ext cx="1524000" cy="792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55</xdr:col>
      <xdr:colOff>301625</xdr:colOff>
      <xdr:row>15</xdr:row>
      <xdr:rowOff>15873</xdr:rowOff>
    </xdr:from>
    <xdr:to>
      <xdr:col>58</xdr:col>
      <xdr:colOff>55562</xdr:colOff>
      <xdr:row>21</xdr:row>
      <xdr:rowOff>131533</xdr:rowOff>
    </xdr:to>
    <xdr:pic>
      <xdr:nvPicPr>
        <xdr:cNvPr id="20" name="Picture 19">
          <a:extLst>
            <a:ext uri="{FF2B5EF4-FFF2-40B4-BE49-F238E27FC236}">
              <a16:creationId xmlns:a16="http://schemas.microsoft.com/office/drawing/2014/main" id="{F2B903B2-EDAB-4251-8973-B0A92F21F9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6200" y="2873373"/>
          <a:ext cx="1582737" cy="1258660"/>
        </a:xfrm>
        <a:prstGeom prst="rect">
          <a:avLst/>
        </a:prstGeom>
        <a:noFill/>
        <a:ln>
          <a:noFill/>
        </a:ln>
      </xdr:spPr>
    </xdr:pic>
    <xdr:clientData/>
  </xdr:twoCellAnchor>
  <xdr:twoCellAnchor>
    <xdr:from>
      <xdr:col>50</xdr:col>
      <xdr:colOff>523875</xdr:colOff>
      <xdr:row>26</xdr:row>
      <xdr:rowOff>171450</xdr:rowOff>
    </xdr:from>
    <xdr:to>
      <xdr:col>59</xdr:col>
      <xdr:colOff>445611</xdr:colOff>
      <xdr:row>29</xdr:row>
      <xdr:rowOff>61615</xdr:rowOff>
    </xdr:to>
    <xdr:grpSp>
      <xdr:nvGrpSpPr>
        <xdr:cNvPr id="21" name="Group 20">
          <a:extLst>
            <a:ext uri="{FF2B5EF4-FFF2-40B4-BE49-F238E27FC236}">
              <a16:creationId xmlns:a16="http://schemas.microsoft.com/office/drawing/2014/main" id="{C0885B0B-853F-4E2A-9C48-A1370A5FB7D8}"/>
            </a:ext>
          </a:extLst>
        </xdr:cNvPr>
        <xdr:cNvGrpSpPr/>
      </xdr:nvGrpSpPr>
      <xdr:grpSpPr>
        <a:xfrm>
          <a:off x="57150000" y="5124450"/>
          <a:ext cx="9027636" cy="461665"/>
          <a:chOff x="501353" y="1993652"/>
          <a:chExt cx="9065736" cy="461665"/>
        </a:xfrm>
      </xdr:grpSpPr>
      <xdr:pic>
        <xdr:nvPicPr>
          <xdr:cNvPr id="22" name="Picture 21">
            <a:extLst>
              <a:ext uri="{FF2B5EF4-FFF2-40B4-BE49-F238E27FC236}">
                <a16:creationId xmlns:a16="http://schemas.microsoft.com/office/drawing/2014/main" id="{5DC2DBB3-CEC2-4233-8725-B18DA3B1D847}"/>
              </a:ext>
            </a:extLst>
          </xdr:cNvPr>
          <xdr:cNvPicPr>
            <a:picLocks noChangeAspect="1"/>
          </xdr:cNvPicPr>
        </xdr:nvPicPr>
        <xdr:blipFill rotWithShape="1">
          <a:blip xmlns:r="http://schemas.openxmlformats.org/officeDocument/2006/relationships" r:embed="rId9"/>
          <a:srcRect t="-1" r="29452" b="-10230"/>
          <a:stretch/>
        </xdr:blipFill>
        <xdr:spPr>
          <a:xfrm>
            <a:off x="501353" y="2204864"/>
            <a:ext cx="6323855" cy="250453"/>
          </a:xfrm>
          <a:prstGeom prst="rect">
            <a:avLst/>
          </a:prstGeom>
        </xdr:spPr>
      </xdr:pic>
      <xdr:pic>
        <xdr:nvPicPr>
          <xdr:cNvPr id="23" name="Picture 22">
            <a:extLst>
              <a:ext uri="{FF2B5EF4-FFF2-40B4-BE49-F238E27FC236}">
                <a16:creationId xmlns:a16="http://schemas.microsoft.com/office/drawing/2014/main" id="{16709AC5-E585-4D9E-802D-F98A46653EEA}"/>
              </a:ext>
            </a:extLst>
          </xdr:cNvPr>
          <xdr:cNvPicPr>
            <a:picLocks noChangeAspect="1"/>
          </xdr:cNvPicPr>
        </xdr:nvPicPr>
        <xdr:blipFill rotWithShape="1">
          <a:blip xmlns:r="http://schemas.openxmlformats.org/officeDocument/2006/relationships" r:embed="rId9"/>
          <a:srcRect l="70691" t="5811"/>
          <a:stretch/>
        </xdr:blipFill>
        <xdr:spPr>
          <a:xfrm>
            <a:off x="6939793" y="2203748"/>
            <a:ext cx="2627296" cy="214005"/>
          </a:xfrm>
          <a:prstGeom prst="rect">
            <a:avLst/>
          </a:prstGeom>
        </xdr:spPr>
      </xdr:pic>
      <xdr:sp macro="" textlink="">
        <xdr:nvSpPr>
          <xdr:cNvPr id="24" name="Rectangle 23">
            <a:extLst>
              <a:ext uri="{FF2B5EF4-FFF2-40B4-BE49-F238E27FC236}">
                <a16:creationId xmlns:a16="http://schemas.microsoft.com/office/drawing/2014/main" id="{80A4FE2E-A9C4-49E3-AA3D-1023A77BC59C}"/>
              </a:ext>
            </a:extLst>
          </xdr:cNvPr>
          <xdr:cNvSpPr/>
        </xdr:nvSpPr>
        <xdr:spPr>
          <a:xfrm>
            <a:off x="6738872" y="1993652"/>
            <a:ext cx="287258" cy="461665"/>
          </a:xfrm>
          <a:prstGeom prst="rect">
            <a:avLst/>
          </a:prstGeom>
        </xdr:spPr>
        <xdr:txBody>
          <a:bodyPr wrap="square">
            <a:spAutoFit/>
          </a:bodyPr>
          <a:lstStyle>
            <a:defPPr>
              <a:defRPr lang="es-ES_tradnl"/>
            </a:defPPr>
            <a:lvl1pPr algn="l" rtl="0" fontAlgn="base">
              <a:spcBef>
                <a:spcPct val="0"/>
              </a:spcBef>
              <a:spcAft>
                <a:spcPct val="0"/>
              </a:spcAft>
              <a:defRPr sz="2800" kern="1200">
                <a:solidFill>
                  <a:srgbClr val="447D1B"/>
                </a:solidFill>
                <a:latin typeface="Arial" pitchFamily="34" charset="0"/>
                <a:ea typeface="+mn-ea"/>
                <a:cs typeface="+mn-cs"/>
              </a:defRPr>
            </a:lvl1pPr>
            <a:lvl2pPr marL="457097" algn="l" rtl="0" fontAlgn="base">
              <a:spcBef>
                <a:spcPct val="0"/>
              </a:spcBef>
              <a:spcAft>
                <a:spcPct val="0"/>
              </a:spcAft>
              <a:defRPr sz="2800" kern="1200">
                <a:solidFill>
                  <a:srgbClr val="447D1B"/>
                </a:solidFill>
                <a:latin typeface="Arial" pitchFamily="34" charset="0"/>
                <a:ea typeface="+mn-ea"/>
                <a:cs typeface="+mn-cs"/>
              </a:defRPr>
            </a:lvl2pPr>
            <a:lvl3pPr marL="914192" algn="l" rtl="0" fontAlgn="base">
              <a:spcBef>
                <a:spcPct val="0"/>
              </a:spcBef>
              <a:spcAft>
                <a:spcPct val="0"/>
              </a:spcAft>
              <a:defRPr sz="2800" kern="1200">
                <a:solidFill>
                  <a:srgbClr val="447D1B"/>
                </a:solidFill>
                <a:latin typeface="Arial" pitchFamily="34" charset="0"/>
                <a:ea typeface="+mn-ea"/>
                <a:cs typeface="+mn-cs"/>
              </a:defRPr>
            </a:lvl3pPr>
            <a:lvl4pPr marL="1371289" algn="l" rtl="0" fontAlgn="base">
              <a:spcBef>
                <a:spcPct val="0"/>
              </a:spcBef>
              <a:spcAft>
                <a:spcPct val="0"/>
              </a:spcAft>
              <a:defRPr sz="2800" kern="1200">
                <a:solidFill>
                  <a:srgbClr val="447D1B"/>
                </a:solidFill>
                <a:latin typeface="Arial" pitchFamily="34" charset="0"/>
                <a:ea typeface="+mn-ea"/>
                <a:cs typeface="+mn-cs"/>
              </a:defRPr>
            </a:lvl4pPr>
            <a:lvl5pPr marL="1828384" algn="l" rtl="0" fontAlgn="base">
              <a:spcBef>
                <a:spcPct val="0"/>
              </a:spcBef>
              <a:spcAft>
                <a:spcPct val="0"/>
              </a:spcAft>
              <a:defRPr sz="2800" kern="1200">
                <a:solidFill>
                  <a:srgbClr val="447D1B"/>
                </a:solidFill>
                <a:latin typeface="Arial" pitchFamily="34" charset="0"/>
                <a:ea typeface="+mn-ea"/>
                <a:cs typeface="+mn-cs"/>
              </a:defRPr>
            </a:lvl5pPr>
            <a:lvl6pPr marL="2285480" algn="l" defTabSz="914192" rtl="0" eaLnBrk="1" latinLnBrk="0" hangingPunct="1">
              <a:defRPr sz="2800" kern="1200">
                <a:solidFill>
                  <a:srgbClr val="447D1B"/>
                </a:solidFill>
                <a:latin typeface="Arial" pitchFamily="34" charset="0"/>
                <a:ea typeface="+mn-ea"/>
                <a:cs typeface="+mn-cs"/>
              </a:defRPr>
            </a:lvl6pPr>
            <a:lvl7pPr marL="2742576" algn="l" defTabSz="914192" rtl="0" eaLnBrk="1" latinLnBrk="0" hangingPunct="1">
              <a:defRPr sz="2800" kern="1200">
                <a:solidFill>
                  <a:srgbClr val="447D1B"/>
                </a:solidFill>
                <a:latin typeface="Arial" pitchFamily="34" charset="0"/>
                <a:ea typeface="+mn-ea"/>
                <a:cs typeface="+mn-cs"/>
              </a:defRPr>
            </a:lvl7pPr>
            <a:lvl8pPr marL="3199672" algn="l" defTabSz="914192" rtl="0" eaLnBrk="1" latinLnBrk="0" hangingPunct="1">
              <a:defRPr sz="2800" kern="1200">
                <a:solidFill>
                  <a:srgbClr val="447D1B"/>
                </a:solidFill>
                <a:latin typeface="Arial" pitchFamily="34" charset="0"/>
                <a:ea typeface="+mn-ea"/>
                <a:cs typeface="+mn-cs"/>
              </a:defRPr>
            </a:lvl8pPr>
            <a:lvl9pPr marL="3656768" algn="l" defTabSz="914192" rtl="0" eaLnBrk="1" latinLnBrk="0" hangingPunct="1">
              <a:defRPr sz="2800" kern="1200">
                <a:solidFill>
                  <a:srgbClr val="447D1B"/>
                </a:solidFill>
                <a:latin typeface="Arial" pitchFamily="34" charset="0"/>
                <a:ea typeface="+mn-ea"/>
                <a:cs typeface="+mn-cs"/>
              </a:defRPr>
            </a:lvl9pPr>
          </a:lstStyle>
          <a:p>
            <a:r>
              <a:rPr lang="en-GB" sz="2400">
                <a:solidFill>
                  <a:schemeClr val="accent4">
                    <a:lumMod val="10000"/>
                  </a:schemeClr>
                </a:solidFill>
              </a:rPr>
              <a:t>-</a:t>
            </a:r>
          </a:p>
        </xdr:txBody>
      </xdr:sp>
    </xdr:grpSp>
    <xdr:clientData/>
  </xdr:twoCellAnchor>
  <xdr:twoCellAnchor editAs="oneCell">
    <xdr:from>
      <xdr:col>59</xdr:col>
      <xdr:colOff>76200</xdr:colOff>
      <xdr:row>2</xdr:row>
      <xdr:rowOff>152400</xdr:rowOff>
    </xdr:from>
    <xdr:to>
      <xdr:col>65</xdr:col>
      <xdr:colOff>554580</xdr:colOff>
      <xdr:row>19</xdr:row>
      <xdr:rowOff>18516</xdr:rowOff>
    </xdr:to>
    <xdr:pic>
      <xdr:nvPicPr>
        <xdr:cNvPr id="25" name="Picture 24">
          <a:extLst>
            <a:ext uri="{FF2B5EF4-FFF2-40B4-BE49-F238E27FC236}">
              <a16:creationId xmlns:a16="http://schemas.microsoft.com/office/drawing/2014/main" id="{7494CF78-9441-490B-AD81-684B91C63BC8}"/>
            </a:ext>
          </a:extLst>
        </xdr:cNvPr>
        <xdr:cNvPicPr>
          <a:picLocks noChangeAspect="1"/>
        </xdr:cNvPicPr>
      </xdr:nvPicPr>
      <xdr:blipFill>
        <a:blip xmlns:r="http://schemas.openxmlformats.org/officeDocument/2006/relationships" r:embed="rId10"/>
        <a:stretch>
          <a:fillRect/>
        </a:stretch>
      </xdr:blipFill>
      <xdr:spPr>
        <a:xfrm>
          <a:off x="65789175" y="533400"/>
          <a:ext cx="4135980" cy="31046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34</xdr:row>
      <xdr:rowOff>17021</xdr:rowOff>
    </xdr:from>
    <xdr:to>
      <xdr:col>2</xdr:col>
      <xdr:colOff>2647949</xdr:colOff>
      <xdr:row>50</xdr:row>
      <xdr:rowOff>161351</xdr:rowOff>
    </xdr:to>
    <xdr:pic>
      <xdr:nvPicPr>
        <xdr:cNvPr id="2" name="Picture 1">
          <a:extLst>
            <a:ext uri="{FF2B5EF4-FFF2-40B4-BE49-F238E27FC236}">
              <a16:creationId xmlns:a16="http://schemas.microsoft.com/office/drawing/2014/main" id="{83B64485-62BC-42E6-829A-EBF9225A302D}"/>
            </a:ext>
          </a:extLst>
        </xdr:cNvPr>
        <xdr:cNvPicPr>
          <a:picLocks noChangeAspect="1"/>
        </xdr:cNvPicPr>
      </xdr:nvPicPr>
      <xdr:blipFill>
        <a:blip xmlns:r="http://schemas.openxmlformats.org/officeDocument/2006/relationships" r:embed="rId1"/>
        <a:stretch>
          <a:fillRect/>
        </a:stretch>
      </xdr:blipFill>
      <xdr:spPr>
        <a:xfrm>
          <a:off x="180975" y="6522596"/>
          <a:ext cx="3686174" cy="3230430"/>
        </a:xfrm>
        <a:prstGeom prst="rect">
          <a:avLst/>
        </a:prstGeom>
      </xdr:spPr>
    </xdr:pic>
    <xdr:clientData/>
  </xdr:twoCellAnchor>
  <xdr:twoCellAnchor editAs="oneCell">
    <xdr:from>
      <xdr:col>0</xdr:col>
      <xdr:colOff>266700</xdr:colOff>
      <xdr:row>0</xdr:row>
      <xdr:rowOff>85726</xdr:rowOff>
    </xdr:from>
    <xdr:to>
      <xdr:col>2</xdr:col>
      <xdr:colOff>2559894</xdr:colOff>
      <xdr:row>16</xdr:row>
      <xdr:rowOff>47065</xdr:rowOff>
    </xdr:to>
    <xdr:pic>
      <xdr:nvPicPr>
        <xdr:cNvPr id="3" name="Picture 2">
          <a:extLst>
            <a:ext uri="{FF2B5EF4-FFF2-40B4-BE49-F238E27FC236}">
              <a16:creationId xmlns:a16="http://schemas.microsoft.com/office/drawing/2014/main" id="{B289D6B0-32EF-4555-B162-B021D4B65B79}"/>
            </a:ext>
          </a:extLst>
        </xdr:cNvPr>
        <xdr:cNvPicPr>
          <a:picLocks noChangeAspect="1"/>
        </xdr:cNvPicPr>
      </xdr:nvPicPr>
      <xdr:blipFill>
        <a:blip xmlns:r="http://schemas.openxmlformats.org/officeDocument/2006/relationships" r:embed="rId2"/>
        <a:stretch>
          <a:fillRect/>
        </a:stretch>
      </xdr:blipFill>
      <xdr:spPr>
        <a:xfrm>
          <a:off x="266700" y="85726"/>
          <a:ext cx="3512394" cy="3018864"/>
        </a:xfrm>
        <a:prstGeom prst="rect">
          <a:avLst/>
        </a:prstGeom>
      </xdr:spPr>
    </xdr:pic>
    <xdr:clientData/>
  </xdr:twoCellAnchor>
  <xdr:twoCellAnchor editAs="oneCell">
    <xdr:from>
      <xdr:col>0</xdr:col>
      <xdr:colOff>57150</xdr:colOff>
      <xdr:row>17</xdr:row>
      <xdr:rowOff>50446</xdr:rowOff>
    </xdr:from>
    <xdr:to>
      <xdr:col>2</xdr:col>
      <xdr:colOff>2276475</xdr:colOff>
      <xdr:row>33</xdr:row>
      <xdr:rowOff>76200</xdr:rowOff>
    </xdr:to>
    <xdr:pic>
      <xdr:nvPicPr>
        <xdr:cNvPr id="4" name="Picture 3">
          <a:extLst>
            <a:ext uri="{FF2B5EF4-FFF2-40B4-BE49-F238E27FC236}">
              <a16:creationId xmlns:a16="http://schemas.microsoft.com/office/drawing/2014/main" id="{433FC9A2-E402-43C8-8A75-5DD41323C71D}"/>
            </a:ext>
          </a:extLst>
        </xdr:cNvPr>
        <xdr:cNvPicPr>
          <a:picLocks noChangeAspect="1"/>
        </xdr:cNvPicPr>
      </xdr:nvPicPr>
      <xdr:blipFill>
        <a:blip xmlns:r="http://schemas.openxmlformats.org/officeDocument/2006/relationships" r:embed="rId3"/>
        <a:stretch>
          <a:fillRect/>
        </a:stretch>
      </xdr:blipFill>
      <xdr:spPr>
        <a:xfrm>
          <a:off x="57150" y="3298471"/>
          <a:ext cx="3438525" cy="3092804"/>
        </a:xfrm>
        <a:prstGeom prst="rect">
          <a:avLst/>
        </a:prstGeom>
      </xdr:spPr>
    </xdr:pic>
    <xdr:clientData/>
  </xdr:twoCellAnchor>
  <xdr:twoCellAnchor editAs="oneCell">
    <xdr:from>
      <xdr:col>4</xdr:col>
      <xdr:colOff>371475</xdr:colOff>
      <xdr:row>28</xdr:row>
      <xdr:rowOff>142875</xdr:rowOff>
    </xdr:from>
    <xdr:to>
      <xdr:col>6</xdr:col>
      <xdr:colOff>66586</xdr:colOff>
      <xdr:row>31</xdr:row>
      <xdr:rowOff>170765</xdr:rowOff>
    </xdr:to>
    <xdr:pic>
      <xdr:nvPicPr>
        <xdr:cNvPr id="5" name="Picture 4">
          <a:extLst>
            <a:ext uri="{FF2B5EF4-FFF2-40B4-BE49-F238E27FC236}">
              <a16:creationId xmlns:a16="http://schemas.microsoft.com/office/drawing/2014/main" id="{DA39800B-DBE6-4F13-B8BB-1C9D0D912E1B}"/>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6086475" y="5495925"/>
          <a:ext cx="914311" cy="599390"/>
        </a:xfrm>
        <a:prstGeom prst="rect">
          <a:avLst/>
        </a:prstGeom>
      </xdr:spPr>
    </xdr:pic>
    <xdr:clientData/>
  </xdr:twoCellAnchor>
  <xdr:twoCellAnchor>
    <xdr:from>
      <xdr:col>31</xdr:col>
      <xdr:colOff>190501</xdr:colOff>
      <xdr:row>28</xdr:row>
      <xdr:rowOff>38099</xdr:rowOff>
    </xdr:from>
    <xdr:to>
      <xdr:col>33</xdr:col>
      <xdr:colOff>552451</xdr:colOff>
      <xdr:row>31</xdr:row>
      <xdr:rowOff>142874</xdr:rowOff>
    </xdr:to>
    <xdr:grpSp>
      <xdr:nvGrpSpPr>
        <xdr:cNvPr id="6" name="Group 5">
          <a:extLst>
            <a:ext uri="{FF2B5EF4-FFF2-40B4-BE49-F238E27FC236}">
              <a16:creationId xmlns:a16="http://schemas.microsoft.com/office/drawing/2014/main" id="{F4908506-5280-45A5-9E22-A4CA539B4E48}"/>
            </a:ext>
          </a:extLst>
        </xdr:cNvPr>
        <xdr:cNvGrpSpPr/>
      </xdr:nvGrpSpPr>
      <xdr:grpSpPr>
        <a:xfrm>
          <a:off x="29051251" y="5391149"/>
          <a:ext cx="1581150" cy="676275"/>
          <a:chOff x="60683775" y="2828925"/>
          <a:chExt cx="2308426" cy="1122929"/>
        </a:xfrm>
      </xdr:grpSpPr>
      <xdr:pic>
        <xdr:nvPicPr>
          <xdr:cNvPr id="7" name="Picture 6">
            <a:extLst>
              <a:ext uri="{FF2B5EF4-FFF2-40B4-BE49-F238E27FC236}">
                <a16:creationId xmlns:a16="http://schemas.microsoft.com/office/drawing/2014/main" id="{14E3C258-A739-4169-9A67-8263D196FE1C}"/>
              </a:ext>
            </a:extLst>
          </xdr:cNvPr>
          <xdr:cNvPicPr>
            <a:picLocks noChangeAspect="1"/>
          </xdr:cNvPicPr>
        </xdr:nvPicPr>
        <xdr:blipFill>
          <a:blip xmlns:r="http://schemas.openxmlformats.org/officeDocument/2006/relationships" r:embed="rId5"/>
          <a:stretch>
            <a:fillRect/>
          </a:stretch>
        </xdr:blipFill>
        <xdr:spPr>
          <a:xfrm>
            <a:off x="60683775" y="2828925"/>
            <a:ext cx="2308426" cy="1122929"/>
          </a:xfrm>
          <a:prstGeom prst="rect">
            <a:avLst/>
          </a:prstGeom>
        </xdr:spPr>
      </xdr:pic>
      <xdr:pic>
        <xdr:nvPicPr>
          <xdr:cNvPr id="8" name="Picture 7">
            <a:extLst>
              <a:ext uri="{FF2B5EF4-FFF2-40B4-BE49-F238E27FC236}">
                <a16:creationId xmlns:a16="http://schemas.microsoft.com/office/drawing/2014/main" id="{F438B463-CFB0-4317-ACEC-CED8981A4F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0" y="3552824"/>
            <a:ext cx="233397" cy="2844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056C33-FC3F-42D5-B8FD-2EFA227E20F7}" name="Table1" displayName="Table1" ref="C3:J10" totalsRowCount="1" headerRowDxfId="72" dataDxfId="70" headerRowBorderDxfId="71">
  <autoFilter ref="C3:J9" xr:uid="{B94C3F02-FAFE-44DD-A9FB-82F30E63183D}"/>
  <tableColumns count="8">
    <tableColumn id="1" xr3:uid="{514BC1C0-653F-4E36-BA2C-5DF2D3CF2309}" name="House Type " dataDxfId="69" totalsRowDxfId="68"/>
    <tableColumn id="2" xr3:uid="{1D45FFA1-6C56-48DB-BB8C-B17B8221DC6D}" name="m2" dataDxfId="67" totalsRowDxfId="66"/>
    <tableColumn id="3" xr3:uid="{BD24EFC8-FDBB-4422-94ED-E40BF2AA0EEF}" name="Heat Pump (Heat kW output) Required 2010 insulation " dataDxfId="65" totalsRowDxfId="64"/>
    <tableColumn id="4" xr3:uid="{82801624-FA76-4713-92E7-D1D791F264B1}" name="Heat Pump (Heat kW output) Required 1990 insulation " dataDxfId="63" totalsRowDxfId="62"/>
    <tableColumn id="5" xr3:uid="{D5A703E4-CBA4-4803-9087-131A2074D8F0}" name="% Delta" totalsRowLabel="Ratio of &quot;Rated&quot;" dataDxfId="61" totalsRowDxfId="60" dataCellStyle="Percent">
      <calculatedColumnFormula>1-Table1[[#This Row],[Heat Pump (Heat kW output) Required 2010 insulation ]]/Table1[[#This Row],[Heat Pump (Heat kW output) Required 1990 insulation ]]</calculatedColumnFormula>
    </tableColumn>
    <tableColumn id="6" xr3:uid="{C6F6F430-94FB-4731-9226-068F329B41A6}" name="Elec kW Draw Continous Worst Case " totalsRowFunction="custom" dataDxfId="59" totalsRowDxfId="58">
      <calculatedColumnFormula>Table1[[#This Row],[Heat Pump (Heat kW output) Required 1990 insulation ]]*Table1[[#Totals],[Elec kW Draw Continous Worst Case ]]</calculatedColumnFormula>
      <totalsRowFormula>4.96/9</totalsRowFormula>
    </tableColumn>
    <tableColumn id="7" xr3:uid="{B29490AA-9254-442F-9078-861C55C8BB33}" name="Elec kW Draw Power Cut Worst Case" totalsRowFunction="custom" dataDxfId="57" totalsRowDxfId="56">
      <calculatedColumnFormula>Table1[[#This Row],[Heat Pump (Heat kW output) Required 1990 insulation ]]*Table1[[#Totals],[Elec kW Draw Power Cut Worst Case]]</calculatedColumnFormula>
      <totalsRowFormula>7.96/9</totalsRowFormula>
    </tableColumn>
    <tableColumn id="8" xr3:uid="{1DCAE6E4-7B9C-46CD-A299-1CC26DD4787D}" name="Elec kW Draw Power Cut Average Case (No Batt)" totalsRowFunction="custom" dataDxfId="55" totalsRowDxfId="54">
      <calculatedColumnFormula>Table1[[#This Row],[Elec kW Draw Continous Worst Case ]]*1.4</calculatedColumnFormula>
      <totalsRowFormula>(4.96*1.4/9)</totalsRow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3A77D07-C733-45B0-88E9-B46D71278E7A}" name="Table13" displayName="Table13" ref="C3:N10" totalsRowCount="1" headerRowDxfId="53" dataDxfId="51" headerRowBorderDxfId="52">
  <autoFilter ref="C3:N9" xr:uid="{B94C3F02-FAFE-44DD-A9FB-82F30E63183D}"/>
  <tableColumns count="12">
    <tableColumn id="1" xr3:uid="{901ED249-4C07-4027-AC93-B3478C0BB9FA}" name="House Type " dataDxfId="50" totalsRowDxfId="49"/>
    <tableColumn id="2" xr3:uid="{7CE09090-8565-488A-9B7D-DFC9B191291E}" name="m2" dataDxfId="48" totalsRowDxfId="47"/>
    <tableColumn id="3" xr3:uid="{7A3BBC6F-DA6D-41D0-9041-87443D3C3185}" name="Heat Pump (Heat kW output) Required 2010 insulation " dataDxfId="46" totalsRowDxfId="45"/>
    <tableColumn id="4" xr3:uid="{F96DC33F-2D5E-4B64-B022-64775D074412}" name="Heat Pump (Heat kW output) Required 1990 insulation " dataDxfId="44" totalsRowDxfId="43"/>
    <tableColumn id="9" xr3:uid="{CE6BD649-0B73-4607-90A9-F00C94EE9CCD}" name="GSHP Size Needed (kW)" dataDxfId="42" totalsRowDxfId="41"/>
    <tableColumn id="5" xr3:uid="{1C103D80-2681-48EB-BFC5-CDF6CB1DA57B}" name="% Delta" totalsRowLabel="Ratio to &quot;Rated&quot;" dataDxfId="40" totalsRowDxfId="39" dataCellStyle="Percent">
      <calculatedColumnFormula>1-Table13[[#This Row],[Heat Pump (Heat kW output) Required 2010 insulation ]]/Table13[[#This Row],[Heat Pump (Heat kW output) Required 1990 insulation ]]</calculatedColumnFormula>
    </tableColumn>
    <tableColumn id="6" xr3:uid="{96ECBCA0-F21A-402C-8995-90E4871BF8BB}" name="Elec kW Draw Continous Worst Case " totalsRowLabel="42%" dataDxfId="38" totalsRowDxfId="37">
      <calculatedColumnFormula>J18</calculatedColumnFormula>
    </tableColumn>
    <tableColumn id="8" xr3:uid="{9217BB83-6B2D-4474-BB79-88DD0093C98B}" name="Elec kW Draw Power Cut Average Case (No Batt)" totalsRowLabel="42%" dataDxfId="36" totalsRowDxfId="35">
      <calculatedColumnFormula>Table13[[#This Row],[Elec kW Draw Continous Worst Case ]]*1.4</calculatedColumnFormula>
    </tableColumn>
    <tableColumn id="10" xr3:uid="{3737C4F5-4AEE-45E1-BA97-66E8541C1795}" name="ASHP C" dataDxfId="34" totalsRowDxfId="33"/>
    <tableColumn id="11" xr3:uid="{DDF5698A-DA65-4F6A-9974-AA97B96AA326}" name="Norm GSHP vs ASHP %" totalsRowFunction="custom" dataDxfId="32" totalsRowDxfId="31">
      <totalsRowFormula>AVERAGE(L7:L9)</totalsRowFormula>
    </tableColumn>
    <tableColumn id="12" xr3:uid="{ACAA17D7-18C3-4842-BA22-B549220DB532}" name="ASHP PC" dataDxfId="30" totalsRowDxfId="29"/>
    <tableColumn id="13" xr3:uid="{32D86CEE-0876-4123-A3A5-07DF609F23D0}" name="PC GSHP vs ASHP %" totalsRowFunction="custom" dataDxfId="28" totalsRowDxfId="27">
      <totalsRowFormula>AVERAGE(N7:N9)</totalsRow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2EBF05D-8B0F-4E1E-A871-900B10E1C81B}" name="Table134" displayName="Table134" ref="C3:N9" totalsRowCount="1" headerRowDxfId="26" dataDxfId="24" headerRowBorderDxfId="25">
  <autoFilter ref="C3:N8" xr:uid="{B94C3F02-FAFE-44DD-A9FB-82F30E63183D}"/>
  <tableColumns count="12">
    <tableColumn id="1" xr3:uid="{09AD8C24-CE17-4160-8E0F-D51B4DF5704D}" name="House Type " dataDxfId="23" totalsRowDxfId="22"/>
    <tableColumn id="2" xr3:uid="{F645C43D-56DF-4337-BFEB-716AD4253B40}" name="m2" dataDxfId="21" totalsRowDxfId="20"/>
    <tableColumn id="3" xr3:uid="{69EBB465-A3FD-4FDA-9E4F-26F06C0A5699}" name="Heat Pump (Heat kW output) Required 2010 insulation " dataDxfId="19" totalsRowDxfId="18"/>
    <tableColumn id="4" xr3:uid="{5CDDEC8F-8755-457C-940C-5492ACFFACA7}" name="Heat Pump (Heat kW output) Required 1990 insulation " dataDxfId="17" totalsRowDxfId="16"/>
    <tableColumn id="9" xr3:uid="{E83B23EF-116A-4191-9CAF-73643A7A0260}" name="GSHP Size Needed (kW)" dataDxfId="15" totalsRowDxfId="14"/>
    <tableColumn id="5" xr3:uid="{5FDA067F-74F9-4738-9982-2BD1DA35A883}" name="% Delta" totalsRowLabel="Ratio to &quot;Rated&quot;" dataDxfId="13" totalsRowDxfId="12" dataCellStyle="Percent">
      <calculatedColumnFormula>1-Table134[[#This Row],[Heat Pump (Heat kW output) Required 2010 insulation ]]/Table134[[#This Row],[Heat Pump (Heat kW output) Required 1990 insulation ]]</calculatedColumnFormula>
    </tableColumn>
    <tableColumn id="6" xr3:uid="{EB6C6764-2500-429F-9839-CDECD91BE304}" name="Elec kW Draw Continous Worst Case " totalsRowLabel="29%" dataDxfId="11" totalsRowDxfId="10">
      <calculatedColumnFormula>J17</calculatedColumnFormula>
    </tableColumn>
    <tableColumn id="8" xr3:uid="{459BED7B-F635-40C5-A45F-B09FB9D9EFE8}" name="Elec kW Draw Power Cut Average Case (No Batt)" totalsRowLabel="29%" dataDxfId="9" totalsRowDxfId="8">
      <calculatedColumnFormula>Table134[[#This Row],[Elec kW Draw Continous Worst Case ]]*1.4</calculatedColumnFormula>
    </tableColumn>
    <tableColumn id="10" xr3:uid="{7AF0FE2B-FC86-42BF-92AD-D8E35BE68395}" name="ASHP C" dataDxfId="7" totalsRowDxfId="6"/>
    <tableColumn id="11" xr3:uid="{61A9987E-0952-46E8-9CF6-039A2C16898F}" name="Norm GSHP vs HyHP %" totalsRowFunction="custom" dataDxfId="5" totalsRowDxfId="4">
      <totalsRowFormula>AVERAGE(L7:L8)</totalsRowFormula>
    </tableColumn>
    <tableColumn id="12" xr3:uid="{F3CB7BC7-3E8A-4596-AF1E-2124C03D98B7}" name="ASHP PC" dataDxfId="3" totalsRowDxfId="2"/>
    <tableColumn id="13" xr3:uid="{D557C954-9226-4C47-96EF-2BBB0AA06084}" name="PC HyHP vs ASHP %" totalsRowFunction="custom" dataDxfId="1" totalsRowDxfId="0">
      <totalsRowFormula>AVERAGE(N7:N8)</totalsRowFormula>
    </tableColumn>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comments" Target="../comments7.xml"/><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comments" Target="../comments8.xml"/><Relationship Id="rId4" Type="http://schemas.openxmlformats.org/officeDocument/2006/relationships/table" Target="../tables/table2.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9.v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70142-040D-4F9B-A584-E1F4588E6B8B}">
  <sheetPr>
    <tabColor theme="9" tint="-0.249977111117893"/>
  </sheetPr>
  <dimension ref="A1:BT57"/>
  <sheetViews>
    <sheetView topLeftCell="AY1" zoomScaleNormal="100" workbookViewId="0">
      <selection activeCell="BJ24" sqref="BJ24"/>
    </sheetView>
  </sheetViews>
  <sheetFormatPr defaultRowHeight="15" x14ac:dyDescent="0.25"/>
  <cols>
    <col min="1" max="1" width="9.140625" hidden="1" customWidth="1"/>
    <col min="2" max="2" width="32.85546875" hidden="1" customWidth="1"/>
    <col min="3" max="10" width="9.140625" hidden="1" customWidth="1"/>
    <col min="11" max="11" width="31.85546875" hidden="1" customWidth="1"/>
    <col min="12" max="19" width="9.140625" hidden="1" customWidth="1"/>
    <col min="20" max="20" width="66.28515625" hidden="1" customWidth="1"/>
    <col min="21" max="21" width="9.140625" hidden="1" customWidth="1"/>
    <col min="22" max="22" width="19.7109375" hidden="1" customWidth="1"/>
    <col min="23" max="23" width="9.140625" hidden="1" customWidth="1"/>
    <col min="24" max="24" width="16.5703125" hidden="1" customWidth="1"/>
    <col min="25" max="27" width="9.140625" hidden="1" customWidth="1"/>
    <col min="28" max="28" width="63.140625" hidden="1" customWidth="1"/>
    <col min="29" max="29" width="9.140625" hidden="1" customWidth="1"/>
    <col min="30" max="30" width="19.7109375" hidden="1" customWidth="1"/>
    <col min="31" max="33" width="9.140625" hidden="1" customWidth="1"/>
    <col min="34" max="34" width="65.28515625" hidden="1" customWidth="1"/>
    <col min="35" max="35" width="9.140625" hidden="1" customWidth="1"/>
    <col min="36" max="36" width="21.28515625" hidden="1" customWidth="1"/>
    <col min="37" max="39" width="9.140625" hidden="1" customWidth="1"/>
    <col min="40" max="40" width="65.28515625" hidden="1" customWidth="1"/>
    <col min="41" max="41" width="9.140625" hidden="1" customWidth="1"/>
    <col min="42" max="42" width="24.28515625" hidden="1" customWidth="1"/>
    <col min="43" max="45" width="9.140625" hidden="1" customWidth="1"/>
    <col min="46" max="46" width="65.28515625" hidden="1" customWidth="1"/>
    <col min="47" max="47" width="9.140625" hidden="1" customWidth="1"/>
    <col min="48" max="48" width="19.140625" hidden="1" customWidth="1"/>
    <col min="49" max="50" width="9.140625" hidden="1" customWidth="1"/>
    <col min="51" max="51" width="9.140625" customWidth="1"/>
    <col min="52" max="52" width="40.5703125" customWidth="1"/>
    <col min="53" max="53" width="31.140625" customWidth="1"/>
    <col min="54" max="54" width="10" bestFit="1" customWidth="1"/>
  </cols>
  <sheetData>
    <row r="1" spans="1:7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x14ac:dyDescent="0.25">
      <c r="A2" s="1"/>
      <c r="B2" s="2" t="s">
        <v>4</v>
      </c>
      <c r="C2" s="2"/>
      <c r="D2" s="2"/>
      <c r="E2" s="3"/>
      <c r="F2" s="3"/>
      <c r="G2" s="3"/>
      <c r="H2" s="3"/>
      <c r="I2" s="3"/>
      <c r="J2" s="3"/>
      <c r="K2" s="2" t="s">
        <v>14</v>
      </c>
      <c r="L2" s="2"/>
      <c r="M2" s="2"/>
      <c r="N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x14ac:dyDescent="0.25">
      <c r="A3" s="1"/>
      <c r="B3" s="5" t="s">
        <v>0</v>
      </c>
      <c r="C3" s="5" t="s">
        <v>1</v>
      </c>
      <c r="D3" s="5" t="s">
        <v>2</v>
      </c>
      <c r="E3" s="5" t="s">
        <v>3</v>
      </c>
      <c r="F3" s="4"/>
      <c r="G3" s="4"/>
      <c r="H3" s="4"/>
      <c r="I3" s="4"/>
      <c r="J3" s="4"/>
      <c r="K3" s="14" t="s">
        <v>0</v>
      </c>
      <c r="L3" s="14" t="s">
        <v>1</v>
      </c>
      <c r="M3" s="14" t="s">
        <v>2</v>
      </c>
      <c r="N3" s="14" t="s">
        <v>3</v>
      </c>
      <c r="O3" s="1"/>
      <c r="P3" s="1"/>
      <c r="Q3" s="1"/>
      <c r="R3" s="1"/>
      <c r="S3" s="1"/>
      <c r="T3" s="19" t="s">
        <v>22</v>
      </c>
      <c r="U3" s="19" t="s">
        <v>8</v>
      </c>
      <c r="V3" s="19" t="s">
        <v>12</v>
      </c>
      <c r="W3" s="19" t="s">
        <v>13</v>
      </c>
      <c r="X3" s="475" t="s">
        <v>93</v>
      </c>
      <c r="Y3" s="1"/>
      <c r="Z3" s="1"/>
      <c r="AA3" s="1"/>
      <c r="AB3" s="19" t="s">
        <v>30</v>
      </c>
      <c r="AC3" s="19" t="s">
        <v>8</v>
      </c>
      <c r="AD3" s="19" t="s">
        <v>12</v>
      </c>
      <c r="AE3" s="19" t="s">
        <v>13</v>
      </c>
      <c r="AF3" s="1"/>
      <c r="AG3" s="1"/>
      <c r="AH3" s="19" t="s">
        <v>40</v>
      </c>
      <c r="AI3" s="19" t="s">
        <v>8</v>
      </c>
      <c r="AJ3" s="19" t="s">
        <v>12</v>
      </c>
      <c r="AK3" s="19" t="s">
        <v>13</v>
      </c>
      <c r="AL3" s="1"/>
      <c r="AM3" s="1"/>
      <c r="AN3" s="19" t="s">
        <v>41</v>
      </c>
      <c r="AO3" s="19" t="s">
        <v>8</v>
      </c>
      <c r="AP3" s="19" t="s">
        <v>12</v>
      </c>
      <c r="AQ3" s="19" t="s">
        <v>13</v>
      </c>
      <c r="AR3" s="1"/>
      <c r="AS3" s="1"/>
      <c r="AT3" s="19" t="s">
        <v>42</v>
      </c>
      <c r="AU3" s="19" t="s">
        <v>8</v>
      </c>
      <c r="AV3" s="19" t="s">
        <v>12</v>
      </c>
      <c r="AW3" s="19" t="s">
        <v>13</v>
      </c>
      <c r="AX3" s="1"/>
      <c r="AY3" s="1"/>
      <c r="AZ3" s="106" t="s">
        <v>52</v>
      </c>
      <c r="BA3" s="106" t="s">
        <v>54</v>
      </c>
      <c r="BB3" s="106" t="s">
        <v>60</v>
      </c>
      <c r="BC3" s="1"/>
      <c r="BD3" s="1"/>
      <c r="BE3" s="1"/>
      <c r="BF3" s="1"/>
      <c r="BG3" s="1"/>
      <c r="BH3" s="1"/>
      <c r="BI3" s="1"/>
      <c r="BJ3" s="1"/>
      <c r="BK3" s="1"/>
      <c r="BL3" s="1"/>
      <c r="BM3" s="1"/>
      <c r="BN3" s="1"/>
      <c r="BO3" s="1"/>
      <c r="BP3" s="1"/>
      <c r="BQ3" s="1"/>
      <c r="BR3" s="1"/>
      <c r="BS3" s="1"/>
    </row>
    <row r="4" spans="1:71" x14ac:dyDescent="0.25">
      <c r="A4" s="1"/>
      <c r="B4" s="16">
        <v>1</v>
      </c>
      <c r="C4" s="7">
        <v>3.5870000000000002</v>
      </c>
      <c r="D4" s="6">
        <v>0.54900000000000004</v>
      </c>
      <c r="E4" s="21">
        <f>D4/C4</f>
        <v>0.15305269027042098</v>
      </c>
      <c r="F4" s="8"/>
      <c r="G4" s="8"/>
      <c r="H4" s="8"/>
      <c r="I4" s="8"/>
      <c r="J4" s="8"/>
      <c r="K4" s="17">
        <v>1</v>
      </c>
      <c r="L4" s="7">
        <v>2.8439999999999999</v>
      </c>
      <c r="M4" s="9">
        <v>0.54900000000000004</v>
      </c>
      <c r="N4" s="21">
        <f>M4/L4</f>
        <v>0.19303797468354433</v>
      </c>
      <c r="O4" s="1"/>
      <c r="P4" s="1"/>
      <c r="Q4" s="1"/>
      <c r="R4" s="1"/>
      <c r="S4" s="1"/>
      <c r="T4" s="18" t="s">
        <v>21</v>
      </c>
      <c r="U4" s="7">
        <f>C17</f>
        <v>1.929</v>
      </c>
      <c r="V4" s="20">
        <f>U4-$U$4</f>
        <v>0</v>
      </c>
      <c r="W4" s="22">
        <v>0</v>
      </c>
      <c r="X4" s="475"/>
      <c r="Y4" s="1"/>
      <c r="Z4" s="1"/>
      <c r="AA4" s="1"/>
      <c r="AB4" s="18" t="s">
        <v>21</v>
      </c>
      <c r="AC4" s="7">
        <f>C15</f>
        <v>4.1130000000000004</v>
      </c>
      <c r="AD4" s="20">
        <f>AC4-$AC$4</f>
        <v>0</v>
      </c>
      <c r="AE4" s="22">
        <v>0</v>
      </c>
      <c r="AF4" s="1"/>
      <c r="AG4" s="1"/>
      <c r="AH4" s="18" t="s">
        <v>21</v>
      </c>
      <c r="AI4" s="7">
        <f>C16</f>
        <v>1.7989999999999999</v>
      </c>
      <c r="AJ4" s="20">
        <f>AI4-$AI$4</f>
        <v>0</v>
      </c>
      <c r="AK4" s="22">
        <v>0</v>
      </c>
      <c r="AL4" s="1"/>
      <c r="AM4" s="1"/>
      <c r="AN4" s="18" t="s">
        <v>21</v>
      </c>
      <c r="AO4" s="7">
        <f>C18</f>
        <v>1.9930000000000001</v>
      </c>
      <c r="AP4" s="20">
        <f>AO4-$AO$4</f>
        <v>0</v>
      </c>
      <c r="AQ4" s="22">
        <v>0</v>
      </c>
      <c r="AR4" s="1"/>
      <c r="AS4" s="1"/>
      <c r="AT4" s="18" t="s">
        <v>21</v>
      </c>
      <c r="AU4" s="7">
        <f>C19</f>
        <v>2.0659999999999998</v>
      </c>
      <c r="AV4" s="20">
        <f>AU4-$U$4</f>
        <v>0.13699999999999979</v>
      </c>
      <c r="AW4" s="22">
        <v>0</v>
      </c>
      <c r="AX4" s="1"/>
      <c r="AY4" s="1"/>
      <c r="AZ4" s="107" t="s">
        <v>61</v>
      </c>
      <c r="BA4" s="108" t="s">
        <v>63</v>
      </c>
      <c r="BB4" s="109">
        <v>50</v>
      </c>
      <c r="BC4" s="1"/>
      <c r="BD4" s="1"/>
      <c r="BE4" s="1"/>
      <c r="BF4" s="1"/>
      <c r="BG4" s="1"/>
      <c r="BH4" s="1"/>
      <c r="BI4" s="1"/>
      <c r="BJ4" s="1"/>
      <c r="BK4" s="1"/>
      <c r="BL4" s="1"/>
      <c r="BM4" s="1"/>
      <c r="BN4" s="1"/>
      <c r="BO4" s="1"/>
      <c r="BP4" s="1"/>
      <c r="BQ4" s="1"/>
      <c r="BR4" s="1"/>
      <c r="BS4" s="1"/>
    </row>
    <row r="5" spans="1:71" x14ac:dyDescent="0.25">
      <c r="A5" s="1"/>
      <c r="B5" s="16">
        <v>25</v>
      </c>
      <c r="C5" s="7">
        <v>3.7559999999999998</v>
      </c>
      <c r="D5" s="6">
        <v>2.1000000000000001E-2</v>
      </c>
      <c r="E5" s="21">
        <f t="shared" ref="E5:E8" si="0">D5/C5</f>
        <v>5.5910543130990422E-3</v>
      </c>
      <c r="F5" s="8"/>
      <c r="G5" s="8"/>
      <c r="H5" s="8"/>
      <c r="I5" s="8"/>
      <c r="J5" s="8"/>
      <c r="K5" s="17">
        <v>25</v>
      </c>
      <c r="L5" s="7">
        <v>1.58</v>
      </c>
      <c r="M5" s="9">
        <v>0.317</v>
      </c>
      <c r="N5" s="21">
        <f t="shared" ref="N5:N8" si="1">M5/L5</f>
        <v>0.20063291139240505</v>
      </c>
      <c r="O5" s="1"/>
      <c r="P5" s="1"/>
      <c r="Q5" s="1"/>
      <c r="R5" s="1"/>
      <c r="S5" s="1"/>
      <c r="T5" s="18" t="s">
        <v>16</v>
      </c>
      <c r="U5" s="7">
        <f>C25</f>
        <v>3.802</v>
      </c>
      <c r="V5" s="20">
        <f>U5-$U$4</f>
        <v>1.873</v>
      </c>
      <c r="W5" s="22">
        <f>U5/$U$4</f>
        <v>1.9709694142042509</v>
      </c>
      <c r="X5" s="475"/>
      <c r="Y5" s="1"/>
      <c r="Z5" s="1"/>
      <c r="AA5" s="1"/>
      <c r="AB5" s="18" t="s">
        <v>16</v>
      </c>
      <c r="AC5" s="7">
        <f>C23</f>
        <v>7.21</v>
      </c>
      <c r="AD5" s="20">
        <f t="shared" ref="AD5:AD8" si="2">AC5-$AC$4</f>
        <v>3.0969999999999995</v>
      </c>
      <c r="AE5" s="22">
        <f>AC5/$AC$4</f>
        <v>1.7529783612934595</v>
      </c>
      <c r="AF5" s="1"/>
      <c r="AG5" s="1"/>
      <c r="AH5" s="18" t="s">
        <v>16</v>
      </c>
      <c r="AI5" s="7">
        <f>C24</f>
        <v>3.9430000000000001</v>
      </c>
      <c r="AJ5" s="20">
        <f t="shared" ref="AJ5:AJ8" si="3">AI5-$AI$4</f>
        <v>2.1440000000000001</v>
      </c>
      <c r="AK5" s="22">
        <f>AI5/$AI$4</f>
        <v>2.1917732073374099</v>
      </c>
      <c r="AL5" s="1"/>
      <c r="AM5" s="1"/>
      <c r="AN5" s="18" t="s">
        <v>16</v>
      </c>
      <c r="AO5" s="7">
        <f>C26</f>
        <v>3.7570000000000001</v>
      </c>
      <c r="AP5" s="20">
        <f t="shared" ref="AP5:AP8" si="4">AO5-$AO$4</f>
        <v>1.764</v>
      </c>
      <c r="AQ5" s="22">
        <f>AO5/$AO$4</f>
        <v>1.88509784244857</v>
      </c>
      <c r="AR5" s="1"/>
      <c r="AS5" s="1"/>
      <c r="AT5" s="18" t="s">
        <v>16</v>
      </c>
      <c r="AU5" s="7">
        <f>C27</f>
        <v>3.7320000000000002</v>
      </c>
      <c r="AV5" s="20">
        <f>AU5-$U$4</f>
        <v>1.8030000000000002</v>
      </c>
      <c r="AW5" s="22">
        <f>AU5/$U$4</f>
        <v>1.9346811819595646</v>
      </c>
      <c r="AX5" s="1"/>
      <c r="AY5" s="1"/>
      <c r="AZ5" s="110" t="s">
        <v>62</v>
      </c>
      <c r="BA5" s="111" t="s">
        <v>56</v>
      </c>
      <c r="BB5" s="112">
        <v>7.36</v>
      </c>
      <c r="BC5" s="1"/>
      <c r="BD5" s="1"/>
      <c r="BE5" s="1"/>
      <c r="BF5" s="1"/>
      <c r="BG5" s="1"/>
      <c r="BH5" s="1"/>
      <c r="BI5" s="1"/>
      <c r="BJ5" s="1"/>
      <c r="BK5" s="1"/>
      <c r="BL5" s="1"/>
      <c r="BM5" s="1"/>
      <c r="BN5" s="1"/>
      <c r="BO5" s="1"/>
      <c r="BP5" s="1"/>
      <c r="BQ5" s="1"/>
      <c r="BR5" s="1"/>
      <c r="BS5" s="1"/>
    </row>
    <row r="6" spans="1:71" x14ac:dyDescent="0.25">
      <c r="A6" s="1"/>
      <c r="B6" s="16">
        <v>50</v>
      </c>
      <c r="C6" s="7">
        <v>3.7370000000000001</v>
      </c>
      <c r="D6" s="6">
        <v>3.1E-2</v>
      </c>
      <c r="E6" s="21">
        <f t="shared" si="0"/>
        <v>8.2954241370082945E-3</v>
      </c>
      <c r="F6" s="8"/>
      <c r="G6" s="10"/>
      <c r="H6" s="8"/>
      <c r="I6" s="8"/>
      <c r="J6" s="8"/>
      <c r="K6" s="17">
        <v>50</v>
      </c>
      <c r="L6" s="7">
        <v>1.389</v>
      </c>
      <c r="M6" s="9">
        <v>0.192</v>
      </c>
      <c r="N6" s="21">
        <f t="shared" si="1"/>
        <v>0.13822894168466524</v>
      </c>
      <c r="O6" s="1"/>
      <c r="P6" s="1"/>
      <c r="Q6" s="1"/>
      <c r="R6" s="1"/>
      <c r="S6" s="1"/>
      <c r="T6" s="18" t="s">
        <v>17</v>
      </c>
      <c r="U6" s="7">
        <f>C33</f>
        <v>5.4351198335644924</v>
      </c>
      <c r="V6" s="20">
        <f>U6-$U$4</f>
        <v>3.5061198335644921</v>
      </c>
      <c r="W6" s="22">
        <f t="shared" ref="W6:W8" si="5">U6/$U$4</f>
        <v>2.8175841542584199</v>
      </c>
      <c r="X6" s="475"/>
      <c r="Y6" s="1"/>
      <c r="Z6" s="1"/>
      <c r="AA6" s="1"/>
      <c r="AB6" s="18" t="s">
        <v>17</v>
      </c>
      <c r="AC6" s="7">
        <f>C31</f>
        <v>10.306999999999999</v>
      </c>
      <c r="AD6" s="20">
        <f t="shared" si="2"/>
        <v>6.1939999999999982</v>
      </c>
      <c r="AE6" s="22">
        <f t="shared" ref="AE6:AE8" si="6">AC6/$AC$4</f>
        <v>2.505956722586919</v>
      </c>
      <c r="AF6" s="1"/>
      <c r="AG6" s="1"/>
      <c r="AH6" s="18" t="s">
        <v>17</v>
      </c>
      <c r="AI6" s="7">
        <f>C32</f>
        <v>5.636685298196948</v>
      </c>
      <c r="AJ6" s="20">
        <f t="shared" si="3"/>
        <v>3.837685298196948</v>
      </c>
      <c r="AK6" s="22">
        <f t="shared" ref="AK6:AK8" si="7">AI6/$AI$4</f>
        <v>3.1332325170633397</v>
      </c>
      <c r="AL6" s="1"/>
      <c r="AM6" s="1"/>
      <c r="AN6" s="18" t="s">
        <v>17</v>
      </c>
      <c r="AO6" s="7">
        <f>C34</f>
        <v>5.3707904299583902</v>
      </c>
      <c r="AP6" s="20">
        <f t="shared" si="4"/>
        <v>3.3777904299583899</v>
      </c>
      <c r="AQ6" s="22">
        <f t="shared" ref="AQ6:AQ8" si="8">AO6/$AO$4</f>
        <v>2.6948271098637178</v>
      </c>
      <c r="AR6" s="1"/>
      <c r="AS6" s="1"/>
      <c r="AT6" s="18" t="s">
        <v>17</v>
      </c>
      <c r="AU6" s="7">
        <f>C35</f>
        <v>5.3350518723994442</v>
      </c>
      <c r="AV6" s="20">
        <f>AU6-$U$4</f>
        <v>3.406051872399444</v>
      </c>
      <c r="AW6" s="22">
        <f t="shared" ref="AW6:AW8" si="9">AU6/$U$4</f>
        <v>2.7657085911868555</v>
      </c>
      <c r="AX6" s="1"/>
      <c r="AY6" s="1"/>
      <c r="AZ6" s="113" t="s">
        <v>83</v>
      </c>
      <c r="BA6" s="114" t="s">
        <v>55</v>
      </c>
      <c r="BB6" s="115" t="s">
        <v>82</v>
      </c>
      <c r="BC6" s="1"/>
      <c r="BD6" s="1"/>
      <c r="BE6" s="1"/>
      <c r="BF6" s="1"/>
      <c r="BG6" s="1"/>
      <c r="BH6" s="1"/>
      <c r="BI6" s="1"/>
      <c r="BJ6" s="1"/>
      <c r="BK6" s="1"/>
      <c r="BL6" s="1"/>
      <c r="BM6" s="1"/>
      <c r="BN6" s="1"/>
      <c r="BO6" s="1"/>
      <c r="BP6" s="1"/>
      <c r="BQ6" s="1"/>
      <c r="BR6" s="1"/>
      <c r="BS6" s="1"/>
    </row>
    <row r="7" spans="1:71" ht="15" customHeight="1" x14ac:dyDescent="0.25">
      <c r="A7" s="1"/>
      <c r="B7" s="16">
        <v>75</v>
      </c>
      <c r="C7" s="7">
        <v>3.7130000000000001</v>
      </c>
      <c r="D7" s="6">
        <v>4.3999999999999997E-2</v>
      </c>
      <c r="E7" s="21">
        <f t="shared" si="0"/>
        <v>1.1850255857796929E-2</v>
      </c>
      <c r="F7" s="8"/>
      <c r="G7" s="8"/>
      <c r="H7" s="8"/>
      <c r="I7" s="8"/>
      <c r="J7" s="8"/>
      <c r="K7" s="17">
        <v>75</v>
      </c>
      <c r="L7" s="7">
        <v>1.304</v>
      </c>
      <c r="M7" s="9">
        <v>0.20899999999999999</v>
      </c>
      <c r="N7" s="21">
        <f t="shared" si="1"/>
        <v>0.16027607361963189</v>
      </c>
      <c r="O7" s="1"/>
      <c r="P7" s="1"/>
      <c r="Q7" s="1"/>
      <c r="R7" s="1"/>
      <c r="S7" s="1"/>
      <c r="T7" s="18" t="s">
        <v>24</v>
      </c>
      <c r="U7" s="7">
        <f>L17*1.18</f>
        <v>2.6042599999999996</v>
      </c>
      <c r="V7" s="20">
        <f>U7-$U$4</f>
        <v>0.67525999999999953</v>
      </c>
      <c r="W7" s="22">
        <f t="shared" si="5"/>
        <v>1.3500570243649557</v>
      </c>
      <c r="X7" s="475"/>
      <c r="Y7" s="1"/>
      <c r="Z7" s="1"/>
      <c r="AA7" s="1"/>
      <c r="AB7" s="18" t="s">
        <v>24</v>
      </c>
      <c r="AC7" s="7">
        <f>L15*1.18</f>
        <v>6.7590399999999997</v>
      </c>
      <c r="AD7" s="20">
        <f t="shared" si="2"/>
        <v>2.6460399999999993</v>
      </c>
      <c r="AE7" s="22">
        <f t="shared" si="6"/>
        <v>1.6433357646486746</v>
      </c>
      <c r="AF7" s="1"/>
      <c r="AG7" s="1"/>
      <c r="AH7" s="18" t="s">
        <v>24</v>
      </c>
      <c r="AI7" s="7">
        <f>L16*1.18</f>
        <v>3.13998</v>
      </c>
      <c r="AJ7" s="20">
        <f t="shared" si="3"/>
        <v>1.3409800000000001</v>
      </c>
      <c r="AK7" s="22">
        <f t="shared" si="7"/>
        <v>1.7454030016675932</v>
      </c>
      <c r="AL7" s="1"/>
      <c r="AM7" s="1"/>
      <c r="AN7" s="18" t="s">
        <v>24</v>
      </c>
      <c r="AO7" s="7">
        <f>L18*1.18</f>
        <v>2.4166400000000001</v>
      </c>
      <c r="AP7" s="20">
        <f t="shared" si="4"/>
        <v>0.42364000000000002</v>
      </c>
      <c r="AQ7" s="22">
        <f t="shared" si="8"/>
        <v>1.2125639739086804</v>
      </c>
      <c r="AR7" s="1"/>
      <c r="AS7" s="1"/>
      <c r="AT7" s="18" t="s">
        <v>24</v>
      </c>
      <c r="AU7" s="7">
        <f>L19*1.18</f>
        <v>2.3363999999999998</v>
      </c>
      <c r="AV7" s="20">
        <f>AU7-$U$4</f>
        <v>0.40739999999999976</v>
      </c>
      <c r="AW7" s="22">
        <f t="shared" si="9"/>
        <v>1.2111975116640745</v>
      </c>
      <c r="AX7" s="1"/>
      <c r="AY7" s="1"/>
      <c r="AZ7" s="116" t="s">
        <v>53</v>
      </c>
      <c r="BA7" s="117" t="s">
        <v>55</v>
      </c>
      <c r="BB7" s="118" t="s">
        <v>82</v>
      </c>
      <c r="BC7" s="1"/>
      <c r="BD7" s="1"/>
      <c r="BE7" s="1"/>
      <c r="BF7" s="1"/>
      <c r="BG7" s="1"/>
      <c r="BH7" s="1"/>
      <c r="BI7" s="1"/>
      <c r="BJ7" s="1"/>
      <c r="BK7" s="1"/>
      <c r="BL7" s="1"/>
      <c r="BM7" s="1"/>
      <c r="BN7" s="1"/>
      <c r="BO7" s="1"/>
      <c r="BP7" s="1"/>
      <c r="BQ7" s="1"/>
      <c r="BR7" s="1"/>
      <c r="BS7" s="1"/>
    </row>
    <row r="8" spans="1:71" x14ac:dyDescent="0.25">
      <c r="A8" s="1"/>
      <c r="B8" s="16">
        <v>100</v>
      </c>
      <c r="C8" s="7">
        <v>3.6880000000000002</v>
      </c>
      <c r="D8" s="6">
        <v>5.2999999999999999E-2</v>
      </c>
      <c r="E8" s="21">
        <f t="shared" si="0"/>
        <v>1.4370932754880694E-2</v>
      </c>
      <c r="F8" s="8"/>
      <c r="G8" s="8"/>
      <c r="H8" s="8"/>
      <c r="I8" s="8"/>
      <c r="J8" s="8"/>
      <c r="K8" s="17">
        <v>100</v>
      </c>
      <c r="L8" s="7">
        <v>1.276</v>
      </c>
      <c r="M8" s="9">
        <v>9.1999999999999998E-2</v>
      </c>
      <c r="N8" s="21">
        <f t="shared" si="1"/>
        <v>7.2100313479623826E-2</v>
      </c>
      <c r="O8" s="1"/>
      <c r="P8" s="1"/>
      <c r="Q8" s="1"/>
      <c r="R8" s="1"/>
      <c r="S8" s="1"/>
      <c r="T8" s="18" t="s">
        <v>20</v>
      </c>
      <c r="U8" s="7">
        <f>L25</f>
        <v>5.8403510976498847</v>
      </c>
      <c r="V8" s="20">
        <f>U8-$U$4</f>
        <v>3.9113510976498844</v>
      </c>
      <c r="W8" s="22">
        <f t="shared" si="5"/>
        <v>3.0276573860289706</v>
      </c>
      <c r="X8" s="475"/>
      <c r="Y8" s="1"/>
      <c r="Z8" s="1"/>
      <c r="AA8" s="1"/>
      <c r="AB8" s="18" t="s">
        <v>20</v>
      </c>
      <c r="AC8" s="7">
        <f>L23</f>
        <v>13.036919999999999</v>
      </c>
      <c r="AD8" s="20">
        <f t="shared" si="2"/>
        <v>8.923919999999999</v>
      </c>
      <c r="AE8" s="22">
        <f t="shared" si="6"/>
        <v>3.1696863603209331</v>
      </c>
      <c r="AF8" s="1"/>
      <c r="AG8" s="1"/>
      <c r="AH8" s="18" t="s">
        <v>20</v>
      </c>
      <c r="AI8" s="7">
        <f>L24</f>
        <v>6.5493546870543735</v>
      </c>
      <c r="AJ8" s="20">
        <f t="shared" si="3"/>
        <v>4.750354687054374</v>
      </c>
      <c r="AK8" s="22">
        <f t="shared" si="7"/>
        <v>3.6405529110919255</v>
      </c>
      <c r="AL8" s="1"/>
      <c r="AM8" s="1"/>
      <c r="AN8" s="18" t="s">
        <v>20</v>
      </c>
      <c r="AO8" s="7">
        <f>L26</f>
        <v>5.5898841509618489</v>
      </c>
      <c r="AP8" s="20">
        <f t="shared" si="4"/>
        <v>3.5968841509618485</v>
      </c>
      <c r="AQ8" s="22">
        <f t="shared" si="8"/>
        <v>2.8047587310395627</v>
      </c>
      <c r="AR8" s="1"/>
      <c r="AS8" s="1"/>
      <c r="AT8" s="18" t="s">
        <v>20</v>
      </c>
      <c r="AU8" s="7">
        <f>L27</f>
        <v>5.4774800828420123</v>
      </c>
      <c r="AV8" s="20">
        <f>AU8-$U$4</f>
        <v>3.548480082842012</v>
      </c>
      <c r="AW8" s="22">
        <f t="shared" si="9"/>
        <v>2.8395438480259263</v>
      </c>
      <c r="AX8" s="1"/>
      <c r="AY8" s="1"/>
      <c r="AZ8" s="116" t="s">
        <v>75</v>
      </c>
      <c r="BA8" s="117" t="s">
        <v>55</v>
      </c>
      <c r="BB8" s="118" t="s">
        <v>82</v>
      </c>
      <c r="BC8" s="1"/>
      <c r="BD8" s="1"/>
      <c r="BE8" s="1"/>
      <c r="BF8" s="1"/>
      <c r="BG8" s="1"/>
      <c r="BH8" s="1"/>
      <c r="BI8" s="1"/>
      <c r="BJ8" s="1"/>
      <c r="BK8" s="1"/>
      <c r="BL8" s="1"/>
      <c r="BM8" s="1"/>
      <c r="BN8" s="1"/>
      <c r="BO8" s="1"/>
      <c r="BP8" s="1"/>
      <c r="BQ8" s="1"/>
      <c r="BR8" s="1"/>
      <c r="BS8" s="1"/>
    </row>
    <row r="9" spans="1:71" x14ac:dyDescent="0.25">
      <c r="A9" s="1"/>
      <c r="B9" s="51"/>
      <c r="C9" s="12"/>
      <c r="D9" s="52"/>
      <c r="E9" s="53"/>
      <c r="F9" s="8"/>
      <c r="G9" s="8"/>
      <c r="H9" s="8"/>
      <c r="I9" s="8"/>
      <c r="J9" s="8"/>
      <c r="K9" s="54"/>
      <c r="L9" s="12"/>
      <c r="M9" s="55"/>
      <c r="N9" s="53"/>
      <c r="O9" s="1"/>
      <c r="P9" s="1"/>
      <c r="Q9" s="1"/>
      <c r="R9" s="1"/>
      <c r="S9" s="1"/>
      <c r="T9" s="56"/>
      <c r="U9" s="12"/>
      <c r="V9" s="57"/>
      <c r="W9" s="58"/>
      <c r="X9" s="1"/>
      <c r="Y9" s="1"/>
      <c r="Z9" s="1"/>
      <c r="AA9" s="1"/>
      <c r="AB9" s="56"/>
      <c r="AC9" s="12"/>
      <c r="AD9" s="57"/>
      <c r="AE9" s="58"/>
      <c r="AF9" s="1"/>
      <c r="AG9" s="1"/>
      <c r="AH9" s="56"/>
      <c r="AI9" s="12"/>
      <c r="AJ9" s="57"/>
      <c r="AK9" s="58"/>
      <c r="AL9" s="1"/>
      <c r="AM9" s="1"/>
      <c r="AN9" s="56"/>
      <c r="AO9" s="12"/>
      <c r="AP9" s="57"/>
      <c r="AQ9" s="58"/>
      <c r="AR9" s="1"/>
      <c r="AS9" s="1"/>
      <c r="AT9" s="56"/>
      <c r="AU9" s="12"/>
      <c r="AV9" s="57"/>
      <c r="AW9" s="58"/>
      <c r="AX9" s="1"/>
      <c r="AY9" s="1"/>
      <c r="AZ9" s="119" t="s">
        <v>84</v>
      </c>
      <c r="BA9" s="120" t="s">
        <v>55</v>
      </c>
      <c r="BB9" s="121" t="s">
        <v>82</v>
      </c>
      <c r="BC9" s="1"/>
      <c r="BD9" s="1"/>
      <c r="BE9" s="1"/>
      <c r="BF9" s="1"/>
      <c r="BG9" s="1"/>
      <c r="BH9" s="1"/>
      <c r="BI9" s="1"/>
      <c r="BJ9" s="1"/>
      <c r="BK9" s="1"/>
      <c r="BL9" s="1"/>
      <c r="BM9" s="1"/>
      <c r="BN9" s="1"/>
      <c r="BO9" s="1"/>
      <c r="BP9" s="1"/>
      <c r="BQ9" s="1"/>
      <c r="BR9" s="1"/>
      <c r="BS9" s="1"/>
    </row>
    <row r="10" spans="1:71" x14ac:dyDescent="0.25">
      <c r="A10" s="1"/>
      <c r="B10" s="51"/>
      <c r="C10" s="12"/>
      <c r="D10" s="52"/>
      <c r="E10" s="53"/>
      <c r="F10" s="8"/>
      <c r="G10" s="8"/>
      <c r="H10" s="8"/>
      <c r="I10" s="8"/>
      <c r="J10" s="8"/>
      <c r="K10" s="54"/>
      <c r="L10" s="12"/>
      <c r="M10" s="55"/>
      <c r="N10" s="53"/>
      <c r="O10" s="1"/>
      <c r="P10" s="1"/>
      <c r="Q10" s="1"/>
      <c r="R10" s="1"/>
      <c r="S10" s="1"/>
      <c r="T10" s="56"/>
      <c r="U10" s="12"/>
      <c r="V10" s="57"/>
      <c r="W10" s="58"/>
      <c r="X10" s="1"/>
      <c r="Y10" s="1"/>
      <c r="Z10" s="1"/>
      <c r="AA10" s="1"/>
      <c r="AB10" s="56"/>
      <c r="AC10" s="12"/>
      <c r="AD10" s="57"/>
      <c r="AE10" s="58"/>
      <c r="AF10" s="1"/>
      <c r="AG10" s="1"/>
      <c r="AH10" s="56"/>
      <c r="AI10" s="12"/>
      <c r="AJ10" s="57"/>
      <c r="AK10" s="58"/>
      <c r="AL10" s="1"/>
      <c r="AM10" s="1"/>
      <c r="AN10" s="56"/>
      <c r="AO10" s="12"/>
      <c r="AP10" s="57"/>
      <c r="AQ10" s="58"/>
      <c r="AR10" s="1"/>
      <c r="AS10" s="1"/>
      <c r="AT10" s="56"/>
      <c r="AU10" s="12"/>
      <c r="AV10" s="57"/>
      <c r="AW10" s="58"/>
      <c r="AX10" s="1"/>
      <c r="AY10" s="1"/>
      <c r="AZ10" s="119" t="s">
        <v>85</v>
      </c>
      <c r="BA10" s="120" t="s">
        <v>55</v>
      </c>
      <c r="BB10" s="121" t="s">
        <v>59</v>
      </c>
      <c r="BC10" s="1"/>
      <c r="BD10" s="1"/>
      <c r="BE10" s="1"/>
      <c r="BF10" s="1"/>
      <c r="BG10" s="1"/>
      <c r="BH10" s="1"/>
      <c r="BI10" s="1"/>
      <c r="BJ10" s="1"/>
      <c r="BK10" s="1"/>
      <c r="BL10" s="1"/>
      <c r="BM10" s="1"/>
      <c r="BN10" s="1"/>
      <c r="BO10" s="1"/>
      <c r="BP10" s="1"/>
      <c r="BQ10" s="1"/>
      <c r="BR10" s="1"/>
      <c r="BS10" s="1"/>
    </row>
    <row r="11" spans="1:71" x14ac:dyDescent="0.25">
      <c r="A11" s="1"/>
      <c r="B11" s="8"/>
      <c r="C11" s="8"/>
      <c r="D11" s="8"/>
      <c r="E11" s="8"/>
      <c r="F11" s="8"/>
      <c r="G11" s="8"/>
      <c r="H11" s="8"/>
      <c r="I11" s="8"/>
      <c r="J11" s="8"/>
      <c r="K11" s="8"/>
      <c r="L11" s="8"/>
      <c r="M11" s="8"/>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22" t="s">
        <v>125</v>
      </c>
      <c r="BA11" s="123" t="s">
        <v>55</v>
      </c>
      <c r="BB11" s="124" t="s">
        <v>82</v>
      </c>
      <c r="BC11" s="1"/>
      <c r="BD11" s="1"/>
      <c r="BE11" s="1"/>
      <c r="BF11" s="1"/>
      <c r="BG11" s="1"/>
      <c r="BH11" s="1"/>
      <c r="BI11" s="1"/>
      <c r="BJ11" s="1"/>
      <c r="BK11" s="1"/>
      <c r="BL11" s="1"/>
      <c r="BM11" s="1"/>
      <c r="BN11" s="1"/>
      <c r="BO11" s="1"/>
      <c r="BP11" s="1"/>
      <c r="BQ11" s="1"/>
      <c r="BR11" s="1"/>
      <c r="BS11" s="1"/>
    </row>
    <row r="12" spans="1:71" x14ac:dyDescent="0.25">
      <c r="A12" s="1"/>
      <c r="B12" s="8"/>
      <c r="C12" s="8"/>
      <c r="D12" s="8"/>
      <c r="E12" s="8"/>
      <c r="F12" s="8"/>
      <c r="G12" s="8"/>
      <c r="H12" s="8"/>
      <c r="I12" s="8"/>
      <c r="J12" s="8"/>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x14ac:dyDescent="0.25">
      <c r="A13" s="1"/>
      <c r="B13" s="8" t="s">
        <v>5</v>
      </c>
      <c r="C13" s="8"/>
      <c r="D13" s="8"/>
      <c r="E13" s="8"/>
      <c r="F13" s="8"/>
      <c r="G13" s="8"/>
      <c r="H13" s="8"/>
      <c r="I13" s="8"/>
      <c r="J13" s="8"/>
      <c r="K13" s="8" t="s">
        <v>15</v>
      </c>
      <c r="L13" s="8"/>
      <c r="M13" s="8"/>
      <c r="N13" s="8"/>
      <c r="O13" s="1"/>
      <c r="P13" s="1"/>
      <c r="Q13" s="1"/>
      <c r="R13" s="1"/>
      <c r="S13" s="1"/>
      <c r="T13" s="19" t="s">
        <v>29</v>
      </c>
      <c r="U13" s="19" t="s">
        <v>8</v>
      </c>
      <c r="V13" s="19" t="s">
        <v>12</v>
      </c>
      <c r="W13" s="19" t="s">
        <v>13</v>
      </c>
      <c r="X13" s="1"/>
      <c r="Y13" s="1"/>
      <c r="Z13" s="1"/>
      <c r="AA13" s="1"/>
      <c r="AB13" s="19" t="s">
        <v>31</v>
      </c>
      <c r="AC13" s="19" t="s">
        <v>8</v>
      </c>
      <c r="AD13" s="19" t="s">
        <v>12</v>
      </c>
      <c r="AE13" s="19" t="s">
        <v>13</v>
      </c>
      <c r="AF13" s="1"/>
      <c r="AG13" s="1"/>
      <c r="AH13" s="19" t="s">
        <v>43</v>
      </c>
      <c r="AI13" s="19" t="s">
        <v>8</v>
      </c>
      <c r="AJ13" s="19" t="s">
        <v>12</v>
      </c>
      <c r="AK13" s="19" t="s">
        <v>13</v>
      </c>
      <c r="AL13" s="1"/>
      <c r="AM13" s="1"/>
      <c r="AN13" s="19" t="s">
        <v>45</v>
      </c>
      <c r="AO13" s="19" t="s">
        <v>8</v>
      </c>
      <c r="AP13" s="19" t="s">
        <v>12</v>
      </c>
      <c r="AQ13" s="19" t="s">
        <v>13</v>
      </c>
      <c r="AR13" s="1"/>
      <c r="AS13" s="1"/>
      <c r="AT13" s="19" t="s">
        <v>47</v>
      </c>
      <c r="AU13" s="19" t="s">
        <v>8</v>
      </c>
      <c r="AV13" s="19" t="s">
        <v>12</v>
      </c>
      <c r="AW13" s="19" t="s">
        <v>13</v>
      </c>
      <c r="AX13" s="1"/>
      <c r="AY13" s="1"/>
      <c r="AZ13" s="1"/>
      <c r="BA13" s="125" t="s">
        <v>86</v>
      </c>
      <c r="BB13" s="126">
        <f>IF(AND(BB4=100,BB5=0,BB6="No",BB7="No",BB8="No"),AU4,IF(AND(BB4=100,BB5=3.68,BB6="No",BB7="No",BB8="No"),AU5,IF(AND(BB4=100,BB5=7.36,BB6="No",BB7="No",BB8="No"),AU6,IF(AND(BB4=100,BB5=0,BB6="Yes",BB7="No",BB8="No"),AU7,IF(AND(BB4=100,BB5=7.36,BB6="Yes",BB7="No",BB8="No"),AU8,IF(AND(BB4=100,BB5=0,BB6="No",BB7="Yes",BB8="No"),AU15,IF(AND(BB4=100,BB5=3.68,BB6="No",BB7="Yes",BB8="No"),AU16,IF(AND(BB4=100,BB5=7.36,BB6="No",BB7="Yes",BB8="No"),AU17,IF(AND(BB4=100,BB5=0,BB6="Yes",BB7="Yes",BB8="No"),AU18,IF(AND(BB4=100,BB5=7.36,BB6="Yes",BB7="Yes",BB8="No"),AU19,IF(AND(BB4=100,BB5=0,BB6="No",BB7="Yes",BB8="Yes"),AU23,IF(AND(BB4=100,BB5=3.68,BB6="No",BB7="Yes",BB8="Yes"),AU24,IF(AND(BB4=100,BB5=7.36,BB6="No",BB7="Yes",BB8="Yes"),AU25,IF(AND(BB4=100,BB5=0,BB6="Yes",BB7="Yes",BB8="Yes"),AU26,IF(AND(BB4=100,BB5=7.36,BB6="Yes",BB7="Yes",BB8="Yes"),AU27,IF(AND(BB4=1,BB5=0,BB6="No",BB7="No",BB8="No"),AC4,IF(AND(BB4=1,BB5=3.68,BB6="No",BB7="No",BB8="No"),AC5,IF(AND(BB4=1,BB5=7.36,BB6="No",BB7="No",BB8="No"),AC6,IF(AND(BB4=1,BB5=0,BB6="Yes",BB7="No",BB8="No"),AC7,IF(AND(BB4=1,BB5=7.36,BB6="Yes",BB7="No",BB8="No"),AC8,IF(AND(BB4=1,BB5=0,BB6="No",BB7="Yes",BB8="No"),AC15,IF(AND(BB4=1,BB5=3.68,BB6="No",BB7="Yes",BB8="No"),AC16,IF(AND(BB4=1,BB5=7.36,BB6="No",BB7="Yes",BB8="No"),AC17,IF(AND(BB4=1,BB5=0,BB6="Yes",BB7="Yes",BB8="No"),AC18,IF(AND(BB4=1,BB5=7.36,BB6="Yes",BB7="Yes",BB8="No"),AC19,IF(AND(BB4=1,BB5=0,BB6="No",BB7="Yes",BB8="Yes"),AC23,IF(AND(BB4=1,BB5=3.68,BB6="No",BB7="Yes",BB8="Yes"),AC24,IF(AND(BB4=1,BB5=7.36,BB6="No",BB7="Yes",BB8="Yes"),AC25,IF(AND(BB4=1,BB5=0,BB6="Yes",BB7="Yes",BB8="Yes"),AC26,IF(AND(BB4=1,BB5=7.36,BB6="Yes",BB7="Yes",BB8="Yes"),AC27,IF(AND(BB4=25,BB5=0,BB6="No",BB7="No",BB8="No"),AI4,IF(AND(BB4=25,BB5=3.68,BB6="No",BB7="No",BB8="No"),AI5,IF(AND(BB4=25,BB5=7.36,BB6="No",BB7="No",BB8="No"),AI6,IF(AND(BB4=25,BB5=0,BB6="Yes",BB7="No",BB8="No"),AI7,IF(AND(BB4=25,BB5=7.36,BB6="Yes",BB7="No",BB8="No"),AI8,IF(AND(BB4=25,BB5=0,BB6="No",BB7="Yes",BB8="No"),AI15,IF(AND(BB4=25,BB5=3.68,BB6="No",BB7="Yes",BB8="No"),AI16,IF(AND(BB4=25,BB5=7.36,BB6="No",BB7="Yes",BB8="No"),AI17,IF(AND(BB4=25,BB5=0,BB6="Yes",BB7="Yes",BB8="No"),AI18,IF(AND(BB4=25,BB5=7.36,BB6="Yes",BB7="Yes",BB8="No"),AI19,IF(AND(BB4=25,BB5=0,BB6="No",BB7="Yes",BB8="Yes"),AI23,IF(AND(BB4=25,BB5=3.68,BB6="No",BB7="Yes",BB8="Yes"),AI24,IF(AND(BB4=25,BB5=7.36,BB6="No",BB7="Yes",BB8="Yes"),AI25,IF(AND(BB4=25,BB5=0,BB6="Yes",BB7="Yes",BB8="Yes"),AI26,IF(AND(BB4=25,BB5=7.36,BB6="Yes",BB7="Yes",BB8="Yes"),AI27,IF(AND(BB4=50,BB5=0,BB6="No",BB7="No",BB8="No"),U4,IF(AND(BB4=50,BB5=3.68,BB6="No",BB7="No",BB8="No"),U5,IF(AND(BB4=50,BB5=7.36,BB6="No",BB7="No",BB8="No"),U6,IF(AND(BB4=50,BB5=0,BB6="Yes",BB7="No",BB8="No"),U7,IF(AND(BB4=50,BB5=7.36,BB6="Yes",BB7="No",BB8="No"),U8,IF(AND(BB4=50,BB5=0,BB6="No",BB7="Yes",BB8="No"),U15,IF(AND(BB4=50,BB5=3.68,BB6="No",BB7="Yes",BB8="No"),U16,IF(AND(BB4=50,BB5=7.36,BB6="No",BB7="Yes",BB8="No"),U17,IF(AND(BB4=50,BB5=0,BB6="Yes",BB7="Yes",BB8="No"),U18,IF(AND(BB4=50,BB5=7.36,BB6="Yes",BB7="Yes",BB8="No"),U19,IF(AND(BB4=50,BB5=0,BB6="No",BB7="Yes",BB8="Yes"),U23,IF(AND(BB4=50,BB5=3.68,BB6="No",BB7="Yes",BB8="Yes"),U24,IF(AND(BB4=50,BB5=7.36,BB6="No",BB7="Yes",BB8="Yes"),U25,IF(AND(BB4=50,BB5=0,BB6="Yes",BB7="Yes",BB8="Yes"),U26,IF(AND(BB4=50,BB5=7.36,BB6="Yes",BB7="Yes",BB8="Yes"),U27,"N/A"))))))))))))))))))))))))))))))))))))))))))))))))))))))))))))</f>
        <v>5.4351198335644924</v>
      </c>
      <c r="BC13" s="1"/>
      <c r="BD13" s="1"/>
      <c r="BE13" s="1"/>
      <c r="BF13" s="1"/>
      <c r="BG13" s="1"/>
      <c r="BH13" s="1"/>
      <c r="BI13" s="1"/>
      <c r="BJ13" s="1"/>
      <c r="BK13" s="1"/>
      <c r="BL13" s="1"/>
      <c r="BM13" s="1"/>
      <c r="BN13" s="1"/>
      <c r="BO13" s="1"/>
      <c r="BP13" s="1"/>
      <c r="BQ13" s="1"/>
      <c r="BR13" s="1"/>
      <c r="BS13" s="1"/>
    </row>
    <row r="14" spans="1:71" x14ac:dyDescent="0.25">
      <c r="A14" s="1"/>
      <c r="B14" s="11" t="s">
        <v>0</v>
      </c>
      <c r="C14" s="11" t="s">
        <v>1</v>
      </c>
      <c r="D14" s="11" t="s">
        <v>2</v>
      </c>
      <c r="E14" s="11" t="s">
        <v>3</v>
      </c>
      <c r="F14" s="8"/>
      <c r="G14" s="8"/>
      <c r="H14" s="8"/>
      <c r="I14" s="8"/>
      <c r="J14" s="8"/>
      <c r="K14" s="15" t="s">
        <v>0</v>
      </c>
      <c r="L14" s="15" t="s">
        <v>1</v>
      </c>
      <c r="M14" s="15" t="s">
        <v>2</v>
      </c>
      <c r="N14" s="15" t="s">
        <v>3</v>
      </c>
      <c r="O14" s="1"/>
      <c r="P14" s="1"/>
      <c r="Q14" s="1"/>
      <c r="R14" s="1"/>
      <c r="S14" s="1"/>
      <c r="T14" s="18" t="s">
        <v>21</v>
      </c>
      <c r="U14" s="7">
        <v>1.93</v>
      </c>
      <c r="V14" s="20">
        <f>U14-$U$14</f>
        <v>0</v>
      </c>
      <c r="W14" s="22">
        <v>0</v>
      </c>
      <c r="X14" s="1"/>
      <c r="Y14" s="1"/>
      <c r="Z14" s="1"/>
      <c r="AA14" s="1"/>
      <c r="AB14" s="18" t="s">
        <v>21</v>
      </c>
      <c r="AC14" s="7">
        <v>4.1100000000000003</v>
      </c>
      <c r="AD14" s="20">
        <f>AC14-$AC$14</f>
        <v>0</v>
      </c>
      <c r="AE14" s="22">
        <v>0</v>
      </c>
      <c r="AF14" s="1"/>
      <c r="AG14" s="1"/>
      <c r="AH14" s="18" t="s">
        <v>21</v>
      </c>
      <c r="AI14" s="7">
        <v>1.8</v>
      </c>
      <c r="AJ14" s="20">
        <f>AI14-$AI$14</f>
        <v>0</v>
      </c>
      <c r="AK14" s="22">
        <v>0</v>
      </c>
      <c r="AL14" s="1"/>
      <c r="AM14" s="1"/>
      <c r="AN14" s="18" t="s">
        <v>21</v>
      </c>
      <c r="AO14" s="7">
        <v>1.99</v>
      </c>
      <c r="AP14" s="20">
        <f>AO14-$AO$14</f>
        <v>0</v>
      </c>
      <c r="AQ14" s="22">
        <v>0</v>
      </c>
      <c r="AR14" s="1"/>
      <c r="AS14" s="1"/>
      <c r="AT14" s="18" t="s">
        <v>21</v>
      </c>
      <c r="AU14" s="7">
        <v>2.0699999999999998</v>
      </c>
      <c r="AV14" s="20">
        <f>AU14-$AU$14</f>
        <v>0</v>
      </c>
      <c r="AW14" s="22">
        <v>0</v>
      </c>
      <c r="AX14" s="1"/>
      <c r="AY14" s="1"/>
      <c r="AZ14" s="1"/>
      <c r="BA14" s="1"/>
      <c r="BB14" s="1"/>
      <c r="BC14" s="1"/>
      <c r="BD14" s="1"/>
      <c r="BE14" s="1"/>
      <c r="BF14" s="1"/>
      <c r="BG14" s="1"/>
      <c r="BH14" s="1"/>
      <c r="BI14" s="1"/>
      <c r="BJ14" s="1"/>
      <c r="BK14" s="1"/>
      <c r="BL14" s="1"/>
      <c r="BM14" s="1"/>
      <c r="BN14" s="1"/>
      <c r="BO14" s="1"/>
      <c r="BP14" s="1"/>
      <c r="BQ14" s="1"/>
      <c r="BR14" s="1"/>
      <c r="BS14" s="1"/>
    </row>
    <row r="15" spans="1:71" x14ac:dyDescent="0.25">
      <c r="A15" s="1"/>
      <c r="B15" s="16">
        <v>1</v>
      </c>
      <c r="C15" s="7">
        <v>4.1130000000000004</v>
      </c>
      <c r="D15" s="6">
        <v>0.76900000000000002</v>
      </c>
      <c r="E15" s="21">
        <f>D15/C15</f>
        <v>0.18696814976902504</v>
      </c>
      <c r="F15" s="8"/>
      <c r="G15" s="8"/>
      <c r="H15" s="8"/>
      <c r="I15" s="8"/>
      <c r="J15" s="8"/>
      <c r="K15" s="17">
        <v>1</v>
      </c>
      <c r="L15" s="7">
        <v>5.7279999999999998</v>
      </c>
      <c r="M15" s="9">
        <v>1.98</v>
      </c>
      <c r="N15" s="21">
        <f>M15/L15</f>
        <v>0.34567039106145253</v>
      </c>
      <c r="O15" s="1"/>
      <c r="P15" s="1"/>
      <c r="Q15" s="1"/>
      <c r="R15" s="1"/>
      <c r="S15" s="1"/>
      <c r="T15" s="18" t="s">
        <v>33</v>
      </c>
      <c r="U15" s="7">
        <v>1.1574</v>
      </c>
      <c r="V15" s="20">
        <f>U15-$U$14</f>
        <v>-0.77259999999999995</v>
      </c>
      <c r="W15" s="22">
        <f>U15/$U$14</f>
        <v>0.59968911917098444</v>
      </c>
      <c r="X15" s="1"/>
      <c r="Y15" s="1"/>
      <c r="Z15" s="1"/>
      <c r="AA15" s="1"/>
      <c r="AB15" s="18" t="s">
        <v>39</v>
      </c>
      <c r="AC15" s="7">
        <v>2.4678</v>
      </c>
      <c r="AD15" s="20">
        <f t="shared" ref="AD15:AD19" si="10">AC15-$AC$14</f>
        <v>-1.6422000000000003</v>
      </c>
      <c r="AE15" s="22">
        <f>AC15/$AC$14</f>
        <v>0.60043795620437956</v>
      </c>
      <c r="AF15" s="1"/>
      <c r="AG15" s="1"/>
      <c r="AH15" s="18" t="s">
        <v>39</v>
      </c>
      <c r="AI15" s="7">
        <v>1.0793999999999999</v>
      </c>
      <c r="AJ15" s="20">
        <f t="shared" ref="AJ15:AJ19" si="11">AI15-$AI$14</f>
        <v>-0.72060000000000013</v>
      </c>
      <c r="AK15" s="22">
        <f>AI15/$AI$14</f>
        <v>0.59966666666666657</v>
      </c>
      <c r="AL15" s="1"/>
      <c r="AM15" s="1"/>
      <c r="AN15" s="18" t="s">
        <v>39</v>
      </c>
      <c r="AO15" s="7">
        <f>$U$15*(AO14/$U$14)</f>
        <v>1.1933813471502592</v>
      </c>
      <c r="AP15" s="20">
        <f>AO15-$AO$14</f>
        <v>-0.79661865284974076</v>
      </c>
      <c r="AQ15" s="22">
        <f>AO15/$AO$14</f>
        <v>0.59968911917098455</v>
      </c>
      <c r="AR15" s="1"/>
      <c r="AS15" s="1"/>
      <c r="AT15" s="18" t="s">
        <v>39</v>
      </c>
      <c r="AU15" s="7">
        <v>1.2395999999999998</v>
      </c>
      <c r="AV15" s="20">
        <f t="shared" ref="AV15:AV19" si="12">AU15-$AU$14</f>
        <v>-0.83040000000000003</v>
      </c>
      <c r="AW15" s="22">
        <f>AU15/$AU$14</f>
        <v>0.59884057971014493</v>
      </c>
      <c r="AX15" s="1"/>
      <c r="AY15" s="1"/>
      <c r="BA15" s="125" t="s">
        <v>87</v>
      </c>
      <c r="BB15" s="127">
        <f>BB13+ IF(AND(BB10="Yes",BB6="Yes"),(3.68*0.8),0)+ IF(BB9="Yes",(3.68*0.5),0)</f>
        <v>5.4351198335644924</v>
      </c>
      <c r="BC15" s="1"/>
      <c r="BD15" s="1"/>
      <c r="BE15" s="1"/>
      <c r="BF15" s="1"/>
      <c r="BG15" s="1"/>
      <c r="BH15" s="1"/>
      <c r="BI15" s="1"/>
      <c r="BJ15" s="1"/>
      <c r="BK15" s="1"/>
      <c r="BL15" s="1"/>
      <c r="BM15" s="1"/>
      <c r="BN15" s="1"/>
      <c r="BO15" s="1"/>
      <c r="BP15" s="1"/>
      <c r="BQ15" s="1"/>
      <c r="BR15" s="1"/>
      <c r="BS15" s="1"/>
    </row>
    <row r="16" spans="1:71" x14ac:dyDescent="0.25">
      <c r="A16" s="1"/>
      <c r="B16" s="16">
        <v>25</v>
      </c>
      <c r="C16" s="7">
        <v>1.7989999999999999</v>
      </c>
      <c r="D16" s="6">
        <v>0.34300000000000003</v>
      </c>
      <c r="E16" s="21">
        <f t="shared" ref="E16:E19" si="13">D16/C16</f>
        <v>0.19066147859922181</v>
      </c>
      <c r="F16" s="8"/>
      <c r="G16" s="8"/>
      <c r="H16" s="8"/>
      <c r="I16" s="8"/>
      <c r="J16" s="8"/>
      <c r="K16" s="17">
        <v>25</v>
      </c>
      <c r="L16" s="7">
        <v>2.661</v>
      </c>
      <c r="M16" s="9">
        <v>0.67300000000000004</v>
      </c>
      <c r="N16" s="21">
        <f t="shared" ref="N16:N19" si="14">M16/L16</f>
        <v>0.25291243893273208</v>
      </c>
      <c r="O16" s="1"/>
      <c r="P16" s="1"/>
      <c r="Q16" s="1"/>
      <c r="R16" s="1"/>
      <c r="S16" s="1"/>
      <c r="T16" s="18" t="s">
        <v>34</v>
      </c>
      <c r="U16" s="28">
        <v>2.2812000000000001</v>
      </c>
      <c r="V16" s="20">
        <f t="shared" ref="V16:V19" si="15">U16-$U$14</f>
        <v>0.35120000000000018</v>
      </c>
      <c r="W16" s="22">
        <f>U16/$U$14</f>
        <v>1.1819689119170986</v>
      </c>
      <c r="X16" s="1"/>
      <c r="Y16" s="1"/>
      <c r="Z16" s="1"/>
      <c r="AA16" s="1"/>
      <c r="AB16" s="18" t="s">
        <v>34</v>
      </c>
      <c r="AC16" s="7">
        <v>4.3259999999999996</v>
      </c>
      <c r="AD16" s="20">
        <f t="shared" si="10"/>
        <v>0.2159999999999993</v>
      </c>
      <c r="AE16" s="22">
        <f>AC16/$AC$14</f>
        <v>1.0525547445255472</v>
      </c>
      <c r="AF16" s="1"/>
      <c r="AG16" s="1"/>
      <c r="AH16" s="18" t="s">
        <v>34</v>
      </c>
      <c r="AI16" s="7">
        <v>2.3658000000000001</v>
      </c>
      <c r="AJ16" s="20">
        <f t="shared" si="11"/>
        <v>0.56580000000000008</v>
      </c>
      <c r="AK16" s="22">
        <f>AI16/$AI$14</f>
        <v>1.3143333333333334</v>
      </c>
      <c r="AL16" s="1"/>
      <c r="AM16" s="1"/>
      <c r="AN16" s="18" t="s">
        <v>34</v>
      </c>
      <c r="AO16" s="7">
        <f>AO18*AP32</f>
        <v>2.5047281325898636</v>
      </c>
      <c r="AP16" s="20">
        <f t="shared" ref="AP16:AP19" si="16">AO16-$AO$14</f>
        <v>0.51472813258986361</v>
      </c>
      <c r="AQ16" s="22">
        <f>AO16/$AO$14</f>
        <v>1.258657353060233</v>
      </c>
      <c r="AR16" s="1"/>
      <c r="AS16" s="1"/>
      <c r="AT16" s="18" t="s">
        <v>34</v>
      </c>
      <c r="AU16" s="7">
        <v>2.2391999999999999</v>
      </c>
      <c r="AV16" s="20">
        <f t="shared" si="12"/>
        <v>0.16920000000000002</v>
      </c>
      <c r="AW16" s="22">
        <f>AU16/$AU$14</f>
        <v>1.0817391304347825</v>
      </c>
      <c r="AX16" s="1"/>
      <c r="AY16" s="1"/>
      <c r="AZ16" s="1"/>
      <c r="BA16" s="1"/>
      <c r="BB16" s="1"/>
      <c r="BC16" s="1"/>
      <c r="BD16" s="1"/>
      <c r="BE16" s="1"/>
      <c r="BF16" s="1"/>
      <c r="BG16" s="1"/>
      <c r="BH16" s="1"/>
      <c r="BI16" s="1"/>
      <c r="BJ16" s="1"/>
      <c r="BK16" s="1"/>
      <c r="BL16" s="1"/>
      <c r="BM16" s="1"/>
      <c r="BN16" s="1"/>
      <c r="BO16" s="1"/>
      <c r="BP16" s="1"/>
      <c r="BQ16" s="1"/>
      <c r="BR16" s="1"/>
      <c r="BS16" s="1"/>
    </row>
    <row r="17" spans="1:71" x14ac:dyDescent="0.25">
      <c r="A17" s="1"/>
      <c r="B17" s="16">
        <v>50</v>
      </c>
      <c r="C17" s="7">
        <v>1.929</v>
      </c>
      <c r="D17" s="6">
        <v>0.35799999999999998</v>
      </c>
      <c r="E17" s="21">
        <f t="shared" si="13"/>
        <v>0.18558838776568168</v>
      </c>
      <c r="F17" s="8"/>
      <c r="G17" s="8"/>
      <c r="H17" s="8"/>
      <c r="I17" s="8"/>
      <c r="J17" s="8"/>
      <c r="K17" s="17">
        <v>50</v>
      </c>
      <c r="L17" s="7">
        <v>2.2069999999999999</v>
      </c>
      <c r="M17" s="9">
        <v>0.38700000000000001</v>
      </c>
      <c r="N17" s="21">
        <f t="shared" si="14"/>
        <v>0.17535115541458995</v>
      </c>
      <c r="O17" s="1"/>
      <c r="P17" s="1"/>
      <c r="Q17" s="1"/>
      <c r="R17" s="1"/>
      <c r="S17" s="1"/>
      <c r="T17" s="18" t="s">
        <v>35</v>
      </c>
      <c r="U17" s="28">
        <v>3.2610719001386954</v>
      </c>
      <c r="V17" s="20">
        <f t="shared" si="15"/>
        <v>1.3310719001386955</v>
      </c>
      <c r="W17" s="22">
        <f t="shared" ref="W17:W19" si="17">U17/$U$14</f>
        <v>1.6896745596573552</v>
      </c>
      <c r="X17" s="1"/>
      <c r="Y17" s="1"/>
      <c r="Z17" s="1"/>
      <c r="AA17" s="1"/>
      <c r="AB17" s="18" t="s">
        <v>35</v>
      </c>
      <c r="AC17" s="7">
        <v>6.1841999999999988</v>
      </c>
      <c r="AD17" s="20">
        <f t="shared" si="10"/>
        <v>2.0741999999999985</v>
      </c>
      <c r="AE17" s="22">
        <f t="shared" ref="AE17:AE19" si="18">AC17/$AC$14</f>
        <v>1.5046715328467148</v>
      </c>
      <c r="AF17" s="1"/>
      <c r="AG17" s="1"/>
      <c r="AH17" s="18" t="s">
        <v>35</v>
      </c>
      <c r="AI17" s="7">
        <v>3.3820111789181686</v>
      </c>
      <c r="AJ17" s="20">
        <f t="shared" si="11"/>
        <v>1.5820111789181686</v>
      </c>
      <c r="AK17" s="22">
        <f t="shared" ref="AK17:AK19" si="19">AI17/$AI$14</f>
        <v>1.8788950993989826</v>
      </c>
      <c r="AL17" s="1"/>
      <c r="AM17" s="1"/>
      <c r="AN17" s="18" t="s">
        <v>35</v>
      </c>
      <c r="AO17" s="7">
        <f>AO18*AP33</f>
        <v>3.580614821442957</v>
      </c>
      <c r="AP17" s="20">
        <f t="shared" si="16"/>
        <v>1.590614821442957</v>
      </c>
      <c r="AQ17" s="22">
        <f>AO17/$AO$14</f>
        <v>1.7993039303733451</v>
      </c>
      <c r="AR17" s="1"/>
      <c r="AS17" s="1"/>
      <c r="AT17" s="18" t="s">
        <v>35</v>
      </c>
      <c r="AU17" s="7">
        <v>3.2010311234396664</v>
      </c>
      <c r="AV17" s="20">
        <f t="shared" si="12"/>
        <v>1.1310311234396666</v>
      </c>
      <c r="AW17" s="22">
        <f>AU17/$AU$14</f>
        <v>1.5463918470723028</v>
      </c>
      <c r="AX17" s="1"/>
      <c r="AY17" s="1"/>
      <c r="AZ17" s="1"/>
      <c r="BA17" s="125" t="s">
        <v>126</v>
      </c>
      <c r="BB17" s="128">
        <f>IF(AND(BB11="Yes",BB5=7.36,BB7="No",BB6= "Yes"),(BB15-3.5),BB15)</f>
        <v>5.4351198335644924</v>
      </c>
      <c r="BC17" s="1"/>
      <c r="BD17" s="1"/>
      <c r="BE17" s="1"/>
      <c r="BF17" s="1"/>
      <c r="BG17" s="1"/>
      <c r="BH17" s="1"/>
      <c r="BI17" s="1"/>
      <c r="BJ17" s="1"/>
      <c r="BK17" s="1"/>
      <c r="BL17" s="1"/>
      <c r="BM17" s="1"/>
      <c r="BN17" s="1"/>
      <c r="BO17" s="1"/>
      <c r="BP17" s="1"/>
      <c r="BQ17" s="1"/>
      <c r="BR17" s="1"/>
      <c r="BS17" s="1"/>
    </row>
    <row r="18" spans="1:71" x14ac:dyDescent="0.25">
      <c r="A18" s="1"/>
      <c r="B18" s="16">
        <v>75</v>
      </c>
      <c r="C18" s="7">
        <v>1.9930000000000001</v>
      </c>
      <c r="D18" s="6">
        <v>0.311</v>
      </c>
      <c r="E18" s="21">
        <f t="shared" si="13"/>
        <v>0.15604616156547918</v>
      </c>
      <c r="F18" s="8"/>
      <c r="G18" s="8"/>
      <c r="H18" s="8"/>
      <c r="I18" s="8"/>
      <c r="J18" s="8"/>
      <c r="K18" s="17">
        <v>75</v>
      </c>
      <c r="L18" s="7">
        <v>2.048</v>
      </c>
      <c r="M18" s="9">
        <v>0.221</v>
      </c>
      <c r="N18" s="21">
        <f t="shared" si="14"/>
        <v>0.10791015625</v>
      </c>
      <c r="O18" s="1"/>
      <c r="P18" s="1"/>
      <c r="Q18" s="1"/>
      <c r="R18" s="1"/>
      <c r="S18" s="1"/>
      <c r="T18" s="18" t="s">
        <v>36</v>
      </c>
      <c r="U18" s="28">
        <v>1.5625559999999996</v>
      </c>
      <c r="V18" s="20">
        <f t="shared" si="15"/>
        <v>-0.36744400000000033</v>
      </c>
      <c r="W18" s="22">
        <f t="shared" si="17"/>
        <v>0.8096145077720206</v>
      </c>
      <c r="X18" s="1"/>
      <c r="Y18" s="1"/>
      <c r="Z18" s="1"/>
      <c r="AA18" s="1"/>
      <c r="AB18" s="18" t="s">
        <v>36</v>
      </c>
      <c r="AC18" s="7">
        <v>4.0554239999999995</v>
      </c>
      <c r="AD18" s="20">
        <f t="shared" si="10"/>
        <v>-5.4576000000000846E-2</v>
      </c>
      <c r="AE18" s="22">
        <f t="shared" si="18"/>
        <v>0.98672116788321151</v>
      </c>
      <c r="AF18" s="1"/>
      <c r="AG18" s="1"/>
      <c r="AH18" s="18" t="s">
        <v>36</v>
      </c>
      <c r="AI18" s="7">
        <v>1.883988</v>
      </c>
      <c r="AJ18" s="20">
        <f t="shared" si="11"/>
        <v>8.3987999999999952E-2</v>
      </c>
      <c r="AK18" s="22">
        <f>AI18/$AI$14</f>
        <v>1.0466599999999999</v>
      </c>
      <c r="AL18" s="1"/>
      <c r="AM18" s="1"/>
      <c r="AN18" s="18" t="s">
        <v>36</v>
      </c>
      <c r="AO18" s="7">
        <f>$U$18*(AO14/$U$14)</f>
        <v>1.611132870466321</v>
      </c>
      <c r="AP18" s="20">
        <f t="shared" si="16"/>
        <v>-0.37886712953367896</v>
      </c>
      <c r="AQ18" s="22">
        <f>AO18/$AO$14</f>
        <v>0.8096145077720206</v>
      </c>
      <c r="AR18" s="1"/>
      <c r="AS18" s="1"/>
      <c r="AT18" s="18" t="s">
        <v>36</v>
      </c>
      <c r="AU18" s="7">
        <v>1.4018399999999998</v>
      </c>
      <c r="AV18" s="20">
        <f t="shared" si="12"/>
        <v>-0.66816000000000009</v>
      </c>
      <c r="AW18" s="22">
        <f>AU18/$AU$14</f>
        <v>0.67721739130434777</v>
      </c>
      <c r="AX18" s="1"/>
      <c r="AY18" s="1"/>
      <c r="AZ18" s="1"/>
      <c r="BA18" s="1"/>
      <c r="BB18" s="1"/>
      <c r="BC18" s="1"/>
      <c r="BD18" s="1"/>
      <c r="BF18" s="1"/>
      <c r="BG18" s="1"/>
      <c r="BH18" s="1"/>
      <c r="BI18" s="1"/>
      <c r="BJ18" s="1"/>
      <c r="BK18" s="1"/>
      <c r="BL18" s="1"/>
      <c r="BM18" s="1"/>
      <c r="BN18" s="1"/>
      <c r="BO18" s="1"/>
      <c r="BP18" s="1"/>
      <c r="BQ18" s="1"/>
      <c r="BR18" s="1"/>
      <c r="BS18" s="1"/>
    </row>
    <row r="19" spans="1:71" x14ac:dyDescent="0.25">
      <c r="A19" s="1"/>
      <c r="B19" s="16">
        <v>100</v>
      </c>
      <c r="C19" s="7">
        <v>2.0659999999999998</v>
      </c>
      <c r="D19" s="6">
        <v>0.22900000000000001</v>
      </c>
      <c r="E19" s="21">
        <f t="shared" si="13"/>
        <v>0.11084220716360117</v>
      </c>
      <c r="F19" s="8"/>
      <c r="G19" s="8"/>
      <c r="H19" s="8"/>
      <c r="I19" s="8"/>
      <c r="J19" s="8"/>
      <c r="K19" s="17">
        <v>100</v>
      </c>
      <c r="L19" s="7">
        <v>1.98</v>
      </c>
      <c r="M19" s="9">
        <v>0.128</v>
      </c>
      <c r="N19" s="21">
        <f t="shared" si="14"/>
        <v>6.4646464646464646E-2</v>
      </c>
      <c r="O19" s="1"/>
      <c r="P19" s="1"/>
      <c r="Q19" s="1"/>
      <c r="R19" s="1"/>
      <c r="S19" s="1"/>
      <c r="T19" s="18" t="s">
        <v>58</v>
      </c>
      <c r="U19" s="28">
        <v>3.5179405181304344</v>
      </c>
      <c r="V19" s="20">
        <f t="shared" si="15"/>
        <v>1.5879405181304345</v>
      </c>
      <c r="W19" s="22">
        <f t="shared" si="17"/>
        <v>1.8227671078396033</v>
      </c>
      <c r="X19" s="1"/>
      <c r="Y19" s="1"/>
      <c r="Z19" s="1"/>
      <c r="AA19" s="1"/>
      <c r="AB19" s="18" t="s">
        <v>58</v>
      </c>
      <c r="AC19" s="7">
        <v>7.8528000000000002</v>
      </c>
      <c r="AD19" s="20">
        <f t="shared" si="10"/>
        <v>3.7427999999999999</v>
      </c>
      <c r="AE19" s="22">
        <f t="shared" si="18"/>
        <v>1.9106569343065694</v>
      </c>
      <c r="AF19" s="1"/>
      <c r="AG19" s="1"/>
      <c r="AH19" s="18" t="s">
        <v>58</v>
      </c>
      <c r="AI19" s="7">
        <v>3.9450094413788377</v>
      </c>
      <c r="AJ19" s="20">
        <f t="shared" si="11"/>
        <v>2.1450094413788374</v>
      </c>
      <c r="AK19" s="22">
        <f t="shared" si="19"/>
        <v>2.191671911877132</v>
      </c>
      <c r="AL19" s="1"/>
      <c r="AM19" s="1"/>
      <c r="AN19" s="18" t="s">
        <v>58</v>
      </c>
      <c r="AO19" s="7">
        <f>AO18*AP34</f>
        <v>3.726680886567034</v>
      </c>
      <c r="AP19" s="20">
        <f t="shared" si="16"/>
        <v>1.736680886567034</v>
      </c>
      <c r="AQ19" s="22">
        <f>AO19/$AO$14</f>
        <v>1.8727039630990121</v>
      </c>
      <c r="AR19" s="1"/>
      <c r="AS19" s="1"/>
      <c r="AT19" s="18" t="s">
        <v>58</v>
      </c>
      <c r="AU19" s="7">
        <v>3.2993648495612278</v>
      </c>
      <c r="AV19" s="20">
        <f t="shared" si="12"/>
        <v>1.2293648495612279</v>
      </c>
      <c r="AW19" s="22">
        <f>AU19/$AU$14</f>
        <v>1.5938960625899652</v>
      </c>
      <c r="AX19" s="1"/>
      <c r="AY19" s="1"/>
      <c r="AZ19" s="1"/>
      <c r="BA19" s="1"/>
      <c r="BB19" s="1"/>
      <c r="BC19" s="1"/>
      <c r="BD19" s="1"/>
      <c r="BE19" s="1"/>
      <c r="BF19" s="1"/>
      <c r="BG19" s="1"/>
      <c r="BH19" s="1"/>
      <c r="BI19" s="1"/>
      <c r="BJ19" s="1"/>
      <c r="BK19" s="1"/>
      <c r="BL19" s="1"/>
      <c r="BM19" s="1"/>
      <c r="BN19" s="1"/>
      <c r="BO19" s="1"/>
      <c r="BP19" s="1"/>
      <c r="BQ19" s="1"/>
      <c r="BR19" s="1"/>
      <c r="BS19" s="1"/>
    </row>
    <row r="20" spans="1:71" x14ac:dyDescent="0.25">
      <c r="A20" s="1"/>
      <c r="B20" s="8"/>
      <c r="C20" s="8"/>
      <c r="D20" s="8"/>
      <c r="E20" s="8"/>
      <c r="F20" s="8"/>
      <c r="G20" s="8"/>
      <c r="H20" s="8"/>
      <c r="I20" s="8"/>
      <c r="J20" s="8"/>
      <c r="K20" s="12"/>
      <c r="L20" s="12"/>
      <c r="M20" s="12"/>
      <c r="N20" s="1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x14ac:dyDescent="0.25">
      <c r="A21" s="1"/>
      <c r="B21" s="8" t="s">
        <v>6</v>
      </c>
      <c r="C21" s="8"/>
      <c r="D21" s="8"/>
      <c r="E21" s="8"/>
      <c r="F21" s="8"/>
      <c r="G21" s="8"/>
      <c r="H21" s="8"/>
      <c r="I21" s="8"/>
      <c r="J21" s="1"/>
      <c r="K21" s="474" t="s">
        <v>18</v>
      </c>
      <c r="L21" s="474"/>
      <c r="M21" s="474"/>
      <c r="N21" s="474"/>
      <c r="P21" s="1"/>
      <c r="Q21" s="1"/>
      <c r="R21" s="1"/>
      <c r="S21" s="1"/>
      <c r="T21" s="19" t="s">
        <v>23</v>
      </c>
      <c r="U21" s="19" t="s">
        <v>8</v>
      </c>
      <c r="V21" s="19" t="s">
        <v>12</v>
      </c>
      <c r="W21" s="19" t="s">
        <v>13</v>
      </c>
      <c r="X21" s="1"/>
      <c r="Y21" s="1"/>
      <c r="Z21" s="1"/>
      <c r="AA21" s="1"/>
      <c r="AB21" s="19" t="s">
        <v>32</v>
      </c>
      <c r="AC21" s="19" t="s">
        <v>8</v>
      </c>
      <c r="AD21" s="19" t="s">
        <v>12</v>
      </c>
      <c r="AE21" s="19" t="s">
        <v>13</v>
      </c>
      <c r="AF21" s="1"/>
      <c r="AG21" s="1"/>
      <c r="AH21" s="19" t="s">
        <v>44</v>
      </c>
      <c r="AI21" s="19" t="s">
        <v>8</v>
      </c>
      <c r="AJ21" s="19" t="s">
        <v>12</v>
      </c>
      <c r="AK21" s="19" t="s">
        <v>13</v>
      </c>
      <c r="AL21" s="1"/>
      <c r="AM21" s="1"/>
      <c r="AN21" s="19" t="s">
        <v>46</v>
      </c>
      <c r="AO21" s="19" t="s">
        <v>8</v>
      </c>
      <c r="AP21" s="19" t="s">
        <v>12</v>
      </c>
      <c r="AQ21" s="19" t="s">
        <v>13</v>
      </c>
      <c r="AR21" s="1"/>
      <c r="AS21" s="1"/>
      <c r="AT21" s="19" t="s">
        <v>48</v>
      </c>
      <c r="AU21" s="19" t="s">
        <v>8</v>
      </c>
      <c r="AV21" s="19" t="s">
        <v>12</v>
      </c>
      <c r="AW21" s="19" t="s">
        <v>13</v>
      </c>
      <c r="AX21" s="1"/>
      <c r="AY21" s="1"/>
      <c r="AZ21" s="1"/>
      <c r="BA21" s="1"/>
      <c r="BB21" s="1"/>
      <c r="BC21" s="1"/>
      <c r="BD21" s="1"/>
      <c r="BE21" s="1"/>
      <c r="BF21" s="1"/>
      <c r="BG21" s="1"/>
      <c r="BH21" s="1"/>
      <c r="BI21" s="1"/>
      <c r="BJ21" s="1"/>
      <c r="BK21" s="1"/>
      <c r="BL21" s="1"/>
      <c r="BM21" s="1"/>
      <c r="BN21" s="1"/>
      <c r="BO21" s="1"/>
      <c r="BP21" s="1"/>
      <c r="BQ21" s="1"/>
      <c r="BR21" s="1"/>
      <c r="BS21" s="1"/>
    </row>
    <row r="22" spans="1:71" x14ac:dyDescent="0.25">
      <c r="A22" s="1"/>
      <c r="B22" s="11" t="s">
        <v>0</v>
      </c>
      <c r="C22" s="11" t="s">
        <v>1</v>
      </c>
      <c r="D22" s="11" t="s">
        <v>2</v>
      </c>
      <c r="E22" s="11" t="s">
        <v>3</v>
      </c>
      <c r="F22" s="8"/>
      <c r="G22" s="8"/>
      <c r="H22" s="8"/>
      <c r="I22" s="8"/>
      <c r="J22" s="1"/>
      <c r="K22" s="15" t="s">
        <v>0</v>
      </c>
      <c r="L22" s="15" t="s">
        <v>1</v>
      </c>
      <c r="M22" s="15" t="s">
        <v>2</v>
      </c>
      <c r="N22" s="15" t="s">
        <v>3</v>
      </c>
      <c r="O22" s="475" t="s">
        <v>93</v>
      </c>
      <c r="P22" s="1"/>
      <c r="Q22" s="1"/>
      <c r="R22" s="1"/>
      <c r="S22" s="1"/>
      <c r="T22" s="18" t="s">
        <v>21</v>
      </c>
      <c r="U22" s="7">
        <v>1.93</v>
      </c>
      <c r="V22" s="20">
        <v>0</v>
      </c>
      <c r="W22" s="22">
        <v>0</v>
      </c>
      <c r="X22" s="1"/>
      <c r="Y22" s="1"/>
      <c r="Z22" s="1"/>
      <c r="AA22" s="1"/>
      <c r="AB22" s="18" t="s">
        <v>21</v>
      </c>
      <c r="AC22" s="7">
        <v>4.1100000000000003</v>
      </c>
      <c r="AD22" s="20">
        <v>0</v>
      </c>
      <c r="AE22" s="22">
        <v>0</v>
      </c>
      <c r="AF22" s="1"/>
      <c r="AG22" s="1"/>
      <c r="AH22" s="18" t="s">
        <v>21</v>
      </c>
      <c r="AI22" s="7">
        <v>1.8</v>
      </c>
      <c r="AJ22" s="20">
        <v>0</v>
      </c>
      <c r="AK22" s="22">
        <v>0</v>
      </c>
      <c r="AL22" s="1"/>
      <c r="AM22" s="1"/>
      <c r="AN22" s="18" t="s">
        <v>21</v>
      </c>
      <c r="AO22" s="7">
        <v>1.99</v>
      </c>
      <c r="AP22" s="20">
        <v>0</v>
      </c>
      <c r="AQ22" s="22">
        <v>0</v>
      </c>
      <c r="AR22" s="1"/>
      <c r="AS22" s="1"/>
      <c r="AT22" s="18" t="s">
        <v>21</v>
      </c>
      <c r="AU22" s="7">
        <v>2.0699999999999998</v>
      </c>
      <c r="AV22" s="20">
        <v>0</v>
      </c>
      <c r="AW22" s="22">
        <v>0</v>
      </c>
      <c r="AX22" s="1"/>
      <c r="AY22" s="1"/>
      <c r="AZ22" s="1"/>
      <c r="BA22" s="1"/>
      <c r="BB22" s="1"/>
      <c r="BC22" s="1"/>
      <c r="BD22" s="1"/>
      <c r="BE22" s="1"/>
      <c r="BF22" s="1"/>
      <c r="BG22" s="1"/>
      <c r="BH22" s="1"/>
      <c r="BI22" s="1"/>
      <c r="BJ22" s="1"/>
      <c r="BK22" s="1"/>
      <c r="BL22" s="1"/>
      <c r="BM22" s="1"/>
      <c r="BN22" s="1"/>
      <c r="BO22" s="1"/>
      <c r="BP22" s="1"/>
      <c r="BQ22" s="1"/>
      <c r="BR22" s="1"/>
      <c r="BS22" s="1"/>
    </row>
    <row r="23" spans="1:71" x14ac:dyDescent="0.25">
      <c r="A23" s="1"/>
      <c r="B23" s="16">
        <v>1</v>
      </c>
      <c r="C23" s="7">
        <v>7.21</v>
      </c>
      <c r="D23" s="6">
        <v>0.9</v>
      </c>
      <c r="E23" s="21">
        <f>D23/C23</f>
        <v>0.12482662968099861</v>
      </c>
      <c r="F23" s="8"/>
      <c r="G23" s="8"/>
      <c r="H23" s="8"/>
      <c r="I23" s="8"/>
      <c r="J23" s="1"/>
      <c r="K23" s="17">
        <v>1</v>
      </c>
      <c r="L23" s="7">
        <f>L15+7.36*$K$44*1.18</f>
        <v>13.036919999999999</v>
      </c>
      <c r="M23" s="9">
        <f>L23*N23</f>
        <v>3.0669160098288377</v>
      </c>
      <c r="N23" s="21">
        <f>(N15+E23)/2</f>
        <v>0.23524851037122557</v>
      </c>
      <c r="O23" s="475"/>
      <c r="P23" s="1"/>
      <c r="Q23" s="1"/>
      <c r="R23" s="1"/>
      <c r="S23" s="1"/>
      <c r="T23" s="18" t="s">
        <v>28</v>
      </c>
      <c r="U23" s="7">
        <v>1.1226780000000001</v>
      </c>
      <c r="V23" s="20">
        <f>U23-$U$22</f>
        <v>-0.80732199999999987</v>
      </c>
      <c r="W23" s="22">
        <f>U23/$U$14</f>
        <v>0.58169844559585493</v>
      </c>
      <c r="X23" s="1"/>
      <c r="Y23" s="1"/>
      <c r="Z23" s="1"/>
      <c r="AA23" s="1"/>
      <c r="AB23" s="18" t="s">
        <v>28</v>
      </c>
      <c r="AC23" s="7">
        <v>2.3937659999999998</v>
      </c>
      <c r="AD23" s="20">
        <f t="shared" ref="AD23:AD27" si="20">AC23-$AC$14</f>
        <v>-1.7162340000000005</v>
      </c>
      <c r="AE23" s="22">
        <f>AC23/$AC$14</f>
        <v>0.58242481751824804</v>
      </c>
      <c r="AF23" s="1"/>
      <c r="AG23" s="1"/>
      <c r="AH23" s="18" t="s">
        <v>28</v>
      </c>
      <c r="AI23" s="7">
        <v>1.0470179999999998</v>
      </c>
      <c r="AJ23" s="20">
        <f>AI23-$AI$14</f>
        <v>-0.75298200000000026</v>
      </c>
      <c r="AK23" s="22">
        <f>AI23/$AI$14</f>
        <v>0.58167666666666651</v>
      </c>
      <c r="AL23" s="1"/>
      <c r="AM23" s="1"/>
      <c r="AN23" s="18" t="s">
        <v>28</v>
      </c>
      <c r="AO23" s="7">
        <f>0.38*AP31</f>
        <v>0.63111666666666666</v>
      </c>
      <c r="AP23" s="20">
        <f>AO23-$AO$14</f>
        <v>-1.3588833333333334</v>
      </c>
      <c r="AQ23" s="22">
        <f>AO23/$AO$14</f>
        <v>0.31714405360134001</v>
      </c>
      <c r="AR23" s="1"/>
      <c r="AS23" s="1"/>
      <c r="AT23" s="18" t="s">
        <v>28</v>
      </c>
      <c r="AU23" s="7">
        <v>1.2024119999999998</v>
      </c>
      <c r="AV23" s="20">
        <f>AU23-$AU$14</f>
        <v>-0.86758800000000003</v>
      </c>
      <c r="AW23" s="22">
        <f>AU23/$AO$14</f>
        <v>0.60422713567839192</v>
      </c>
      <c r="AX23" s="1"/>
      <c r="AY23" s="1"/>
      <c r="AZ23" s="1"/>
      <c r="BB23" s="1"/>
      <c r="BC23" s="1"/>
      <c r="BD23" s="1"/>
      <c r="BE23" s="1"/>
      <c r="BF23" s="1"/>
      <c r="BG23" s="1"/>
      <c r="BH23" s="1"/>
      <c r="BI23" s="1"/>
      <c r="BJ23" s="1"/>
      <c r="BK23" s="1"/>
      <c r="BL23" s="1"/>
      <c r="BM23" s="1"/>
      <c r="BN23" s="1"/>
      <c r="BO23" s="1"/>
      <c r="BP23" s="1"/>
      <c r="BQ23" s="1"/>
      <c r="BR23" s="1"/>
      <c r="BS23" s="1"/>
    </row>
    <row r="24" spans="1:71" x14ac:dyDescent="0.25">
      <c r="A24" s="1"/>
      <c r="B24" s="16">
        <v>25</v>
      </c>
      <c r="C24" s="7">
        <v>3.9430000000000001</v>
      </c>
      <c r="D24" s="6">
        <v>0.36299999999999999</v>
      </c>
      <c r="E24" s="21">
        <f t="shared" ref="E24:E27" si="21">D24/C24</f>
        <v>9.2061881815876226E-2</v>
      </c>
      <c r="F24" s="8"/>
      <c r="G24" s="8"/>
      <c r="H24" s="8"/>
      <c r="I24" s="8"/>
      <c r="J24" s="1"/>
      <c r="K24" s="17">
        <v>25</v>
      </c>
      <c r="L24" s="7">
        <f>L23/H46</f>
        <v>6.5493546870543735</v>
      </c>
      <c r="M24" s="9">
        <f>L24*N24</f>
        <v>1.1296795922541483</v>
      </c>
      <c r="N24" s="21">
        <f>(N16+E24)/2</f>
        <v>0.17248716037430414</v>
      </c>
      <c r="O24" s="475"/>
      <c r="P24" s="1"/>
      <c r="Q24" s="1"/>
      <c r="R24" s="1"/>
      <c r="S24" s="1"/>
      <c r="T24" s="18" t="s">
        <v>25</v>
      </c>
      <c r="U24" s="28">
        <v>2.212764</v>
      </c>
      <c r="V24" s="20">
        <f t="shared" ref="V24:V27" si="22">U24-$U$22</f>
        <v>0.28276400000000002</v>
      </c>
      <c r="W24" s="22">
        <f>U24/$U$14</f>
        <v>1.1465098445595856</v>
      </c>
      <c r="X24" s="1"/>
      <c r="Y24" s="1"/>
      <c r="Z24" s="1"/>
      <c r="AA24" s="1"/>
      <c r="AB24" s="18" t="s">
        <v>25</v>
      </c>
      <c r="AC24" s="28">
        <v>4.1962199999999994</v>
      </c>
      <c r="AD24" s="20">
        <f t="shared" si="20"/>
        <v>8.6219999999999075E-2</v>
      </c>
      <c r="AE24" s="22">
        <f>AC24/$AC$14</f>
        <v>1.0209781021897808</v>
      </c>
      <c r="AF24" s="1"/>
      <c r="AG24" s="1"/>
      <c r="AH24" s="18" t="s">
        <v>25</v>
      </c>
      <c r="AI24" s="28">
        <v>2.294826</v>
      </c>
      <c r="AJ24" s="20">
        <f t="shared" ref="AJ24:AJ27" si="23">AI24-$AI$14</f>
        <v>0.49482599999999999</v>
      </c>
      <c r="AK24" s="22">
        <f>AI24/$AI$14</f>
        <v>1.2749033333333333</v>
      </c>
      <c r="AL24" s="1"/>
      <c r="AM24" s="1"/>
      <c r="AN24" s="18" t="s">
        <v>25</v>
      </c>
      <c r="AO24" s="28">
        <f>AO26*AP32</f>
        <v>2.7885539012844278</v>
      </c>
      <c r="AP24" s="20">
        <f t="shared" ref="AP24:AP27" si="24">AO24-$AO$14</f>
        <v>0.79855390128442783</v>
      </c>
      <c r="AQ24" s="22">
        <f>AO24/$AO$14</f>
        <v>1.4012833674796119</v>
      </c>
      <c r="AR24" s="1"/>
      <c r="AS24" s="1"/>
      <c r="AT24" s="18" t="s">
        <v>25</v>
      </c>
      <c r="AU24" s="28">
        <v>2.172024</v>
      </c>
      <c r="AV24" s="20">
        <f t="shared" ref="AV24:AV27" si="25">AU24-$AU$14</f>
        <v>0.10202400000000011</v>
      </c>
      <c r="AW24" s="22">
        <f>AU24/$AO$14</f>
        <v>1.0914693467336682</v>
      </c>
      <c r="AX24" s="1"/>
      <c r="AY24" s="1"/>
      <c r="AZ24" s="1"/>
      <c r="BA24" s="1"/>
      <c r="BB24" s="1"/>
      <c r="BC24" s="1"/>
      <c r="BD24" s="1"/>
      <c r="BE24" s="1"/>
      <c r="BF24" s="1"/>
      <c r="BG24" s="1"/>
      <c r="BH24" s="1"/>
      <c r="BI24" s="1"/>
      <c r="BJ24" s="1"/>
      <c r="BK24" s="1"/>
      <c r="BL24" s="1"/>
      <c r="BM24" s="1"/>
      <c r="BN24" s="1"/>
      <c r="BO24" s="1"/>
      <c r="BP24" s="1"/>
      <c r="BQ24" s="1"/>
      <c r="BR24" s="1"/>
      <c r="BS24" s="1"/>
    </row>
    <row r="25" spans="1:71" ht="15" customHeight="1" x14ac:dyDescent="0.25">
      <c r="A25" s="1"/>
      <c r="B25" s="16">
        <v>50</v>
      </c>
      <c r="C25" s="7">
        <v>3.802</v>
      </c>
      <c r="D25" s="6">
        <v>0.15</v>
      </c>
      <c r="E25" s="21">
        <f t="shared" si="21"/>
        <v>3.9452919516044183E-2</v>
      </c>
      <c r="F25" s="8"/>
      <c r="G25" s="8"/>
      <c r="H25" s="8"/>
      <c r="I25" s="8"/>
      <c r="J25" s="1"/>
      <c r="K25" s="17">
        <v>50</v>
      </c>
      <c r="L25" s="7">
        <f>L24/H47</f>
        <v>5.8403510976498847</v>
      </c>
      <c r="M25" s="9">
        <f t="shared" ref="M25:M27" si="26">L25*N25</f>
        <v>0.62726560740039861</v>
      </c>
      <c r="N25" s="21">
        <f>(N17+E25)/2</f>
        <v>0.10740203746531707</v>
      </c>
      <c r="O25" s="475"/>
      <c r="P25" s="1"/>
      <c r="Q25" s="1"/>
      <c r="R25" s="1"/>
      <c r="S25" s="1"/>
      <c r="T25" s="18" t="s">
        <v>26</v>
      </c>
      <c r="U25" s="28">
        <v>3.1632397431345343</v>
      </c>
      <c r="V25" s="20">
        <f t="shared" si="22"/>
        <v>1.2332397431345343</v>
      </c>
      <c r="W25" s="22">
        <f t="shared" ref="W25:W27" si="27">U25/$U$14</f>
        <v>1.6389843228676344</v>
      </c>
      <c r="X25" s="1"/>
      <c r="Y25" s="1"/>
      <c r="Z25" s="1"/>
      <c r="AA25" s="1"/>
      <c r="AB25" s="18" t="s">
        <v>26</v>
      </c>
      <c r="AC25" s="28">
        <v>5.9986739999999985</v>
      </c>
      <c r="AD25" s="20">
        <f t="shared" si="20"/>
        <v>1.8886739999999982</v>
      </c>
      <c r="AE25" s="22">
        <f t="shared" ref="AE25:AE27" si="28">AC25/$AC$14</f>
        <v>1.4595313868613133</v>
      </c>
      <c r="AF25" s="1"/>
      <c r="AG25" s="1"/>
      <c r="AH25" s="18" t="s">
        <v>26</v>
      </c>
      <c r="AI25" s="28">
        <v>3.2805508435506234</v>
      </c>
      <c r="AJ25" s="20">
        <f t="shared" si="23"/>
        <v>1.4805508435506234</v>
      </c>
      <c r="AK25" s="22">
        <f>AI25/$AI$14</f>
        <v>1.8225282464170129</v>
      </c>
      <c r="AL25" s="1"/>
      <c r="AM25" s="1"/>
      <c r="AN25" s="18" t="s">
        <v>26</v>
      </c>
      <c r="AO25" s="28">
        <f>AO26*AP33</f>
        <v>3.986355764291067</v>
      </c>
      <c r="AP25" s="20">
        <f t="shared" si="24"/>
        <v>1.996355764291067</v>
      </c>
      <c r="AQ25" s="22">
        <f>AO25/$AO$14</f>
        <v>2.0031938514025462</v>
      </c>
      <c r="AR25" s="1"/>
      <c r="AS25" s="1"/>
      <c r="AT25" s="18" t="s">
        <v>26</v>
      </c>
      <c r="AU25" s="28">
        <v>3.1050001897364763</v>
      </c>
      <c r="AV25" s="20">
        <f t="shared" si="25"/>
        <v>1.0350001897364765</v>
      </c>
      <c r="AW25" s="22">
        <f>AU25/$AO$14</f>
        <v>1.5603016028826515</v>
      </c>
      <c r="AX25" s="1"/>
      <c r="AY25" s="1"/>
      <c r="AZ25" s="1"/>
      <c r="BA25" s="1"/>
      <c r="BB25" s="1"/>
      <c r="BC25" s="1"/>
      <c r="BD25" s="1"/>
      <c r="BE25" s="1"/>
      <c r="BF25" s="1"/>
      <c r="BG25" s="1"/>
      <c r="BH25" s="1"/>
      <c r="BI25" s="1"/>
      <c r="BJ25" s="1"/>
      <c r="BK25" s="1"/>
      <c r="BL25" s="1"/>
      <c r="BM25" s="1"/>
      <c r="BN25" s="1"/>
      <c r="BO25" s="1"/>
      <c r="BP25" s="1"/>
      <c r="BQ25" s="1"/>
      <c r="BR25" s="1"/>
      <c r="BS25" s="1"/>
    </row>
    <row r="26" spans="1:71" x14ac:dyDescent="0.25">
      <c r="A26" s="1"/>
      <c r="B26" s="16">
        <v>75</v>
      </c>
      <c r="C26" s="7">
        <v>3.7570000000000001</v>
      </c>
      <c r="D26" s="6">
        <v>8.6999999999999994E-2</v>
      </c>
      <c r="E26" s="21">
        <f t="shared" si="21"/>
        <v>2.3156774021825921E-2</v>
      </c>
      <c r="F26" s="8"/>
      <c r="G26" s="8"/>
      <c r="H26" s="8"/>
      <c r="I26" s="8"/>
      <c r="J26" s="1"/>
      <c r="K26" s="17">
        <v>75</v>
      </c>
      <c r="L26" s="7">
        <f>L25/H48</f>
        <v>5.5898841509618489</v>
      </c>
      <c r="M26" s="9">
        <f t="shared" si="26"/>
        <v>0.36632447812085073</v>
      </c>
      <c r="N26" s="21">
        <f>(N18+E26)/2</f>
        <v>6.5533465135912961E-2</v>
      </c>
      <c r="O26" s="475"/>
      <c r="P26" s="1"/>
      <c r="Q26" s="1"/>
      <c r="R26" s="1"/>
      <c r="S26" s="1"/>
      <c r="T26" s="18" t="s">
        <v>27</v>
      </c>
      <c r="U26" s="28">
        <v>1.5156793199999996</v>
      </c>
      <c r="V26" s="20">
        <f t="shared" si="22"/>
        <v>-0.41432068000000033</v>
      </c>
      <c r="W26" s="22">
        <f t="shared" si="27"/>
        <v>0.78532607253885989</v>
      </c>
      <c r="X26" s="1" t="s">
        <v>95</v>
      </c>
      <c r="Y26" s="1"/>
      <c r="Z26" s="1"/>
      <c r="AA26" s="1"/>
      <c r="AB26" s="18" t="s">
        <v>27</v>
      </c>
      <c r="AC26" s="7">
        <v>3.9337612799999992</v>
      </c>
      <c r="AD26" s="20">
        <f t="shared" si="20"/>
        <v>-0.17623872000000107</v>
      </c>
      <c r="AE26" s="22">
        <f>AC26/$AC$14</f>
        <v>0.95711953284671503</v>
      </c>
      <c r="AF26" s="1"/>
      <c r="AG26" s="1"/>
      <c r="AH26" s="18" t="s">
        <v>27</v>
      </c>
      <c r="AI26" s="28">
        <v>1.8274683599999999</v>
      </c>
      <c r="AJ26" s="20">
        <f t="shared" si="23"/>
        <v>2.7468359999999858E-2</v>
      </c>
      <c r="AK26" s="22">
        <f>AI26/$AI$14</f>
        <v>1.0152601999999999</v>
      </c>
      <c r="AL26" s="1"/>
      <c r="AM26" s="1"/>
      <c r="AN26" s="18" t="s">
        <v>27</v>
      </c>
      <c r="AO26" s="28">
        <f>1.08*AP31</f>
        <v>1.7937000000000001</v>
      </c>
      <c r="AP26" s="20">
        <f t="shared" si="24"/>
        <v>-0.19629999999999992</v>
      </c>
      <c r="AQ26" s="22">
        <f>AO26/$AO$14</f>
        <v>0.90135678391959806</v>
      </c>
      <c r="AR26" s="1"/>
      <c r="AS26" s="1"/>
      <c r="AT26" s="18" t="s">
        <v>27</v>
      </c>
      <c r="AU26" s="28">
        <v>1.3597847999999997</v>
      </c>
      <c r="AV26" s="20">
        <f t="shared" si="25"/>
        <v>-0.71021520000000016</v>
      </c>
      <c r="AW26" s="22">
        <f>AU26/$AO$14</f>
        <v>0.68330894472361792</v>
      </c>
      <c r="AX26" s="1"/>
      <c r="AY26" s="1"/>
      <c r="AZ26" s="1"/>
      <c r="BA26" s="1"/>
      <c r="BB26" s="1"/>
      <c r="BC26" s="1"/>
      <c r="BD26" s="1"/>
      <c r="BE26" s="1"/>
      <c r="BF26" s="1"/>
      <c r="BG26" s="1"/>
      <c r="BH26" s="1"/>
      <c r="BI26" s="1"/>
      <c r="BJ26" s="1"/>
      <c r="BK26" s="1"/>
      <c r="BL26" s="1"/>
      <c r="BM26" s="1"/>
      <c r="BN26" s="1"/>
      <c r="BO26" s="1"/>
      <c r="BP26" s="1"/>
      <c r="BQ26" s="1"/>
      <c r="BR26" s="1"/>
      <c r="BS26" s="1"/>
    </row>
    <row r="27" spans="1:71" x14ac:dyDescent="0.25">
      <c r="A27" s="1"/>
      <c r="B27" s="16">
        <v>100</v>
      </c>
      <c r="C27" s="7">
        <v>3.7320000000000002</v>
      </c>
      <c r="D27" s="6">
        <v>6.2E-2</v>
      </c>
      <c r="E27" s="21">
        <f t="shared" si="21"/>
        <v>1.6613076098606645E-2</v>
      </c>
      <c r="F27" s="8"/>
      <c r="G27" s="8"/>
      <c r="H27" s="8"/>
      <c r="I27" s="8"/>
      <c r="J27" s="1"/>
      <c r="K27" s="17">
        <v>100</v>
      </c>
      <c r="L27" s="7">
        <f>L26/H49</f>
        <v>5.4774800828420123</v>
      </c>
      <c r="M27" s="9">
        <f t="shared" si="26"/>
        <v>0.22254875798600848</v>
      </c>
      <c r="N27" s="21">
        <f>(N19+E27)/2</f>
        <v>4.0629770372535644E-2</v>
      </c>
      <c r="O27" s="475"/>
      <c r="P27" s="1"/>
      <c r="Q27" s="1"/>
      <c r="R27" s="1"/>
      <c r="S27" s="1"/>
      <c r="T27" s="18" t="s">
        <v>57</v>
      </c>
      <c r="U27" s="28">
        <v>3.4124023025865213</v>
      </c>
      <c r="V27" s="20">
        <f t="shared" si="22"/>
        <v>1.4824023025865214</v>
      </c>
      <c r="W27" s="22">
        <f t="shared" si="27"/>
        <v>1.7680840946044152</v>
      </c>
      <c r="X27" s="1"/>
      <c r="Y27" s="1"/>
      <c r="Z27" s="1"/>
      <c r="AA27" s="1"/>
      <c r="AB27" s="18" t="s">
        <v>57</v>
      </c>
      <c r="AC27" s="28">
        <v>7.617216</v>
      </c>
      <c r="AD27" s="20">
        <f t="shared" si="20"/>
        <v>3.5072159999999997</v>
      </c>
      <c r="AE27" s="22">
        <f t="shared" si="28"/>
        <v>1.8533372262773722</v>
      </c>
      <c r="AF27" s="1"/>
      <c r="AG27" s="1"/>
      <c r="AH27" s="18" t="s">
        <v>57</v>
      </c>
      <c r="AI27" s="28">
        <v>3.8266591581374723</v>
      </c>
      <c r="AJ27" s="20">
        <f t="shared" si="23"/>
        <v>2.0266591581374724</v>
      </c>
      <c r="AK27" s="22">
        <f>AI27/$AI$14</f>
        <v>2.1259217545208178</v>
      </c>
      <c r="AL27" s="1"/>
      <c r="AM27" s="1"/>
      <c r="AN27" s="18" t="s">
        <v>57</v>
      </c>
      <c r="AO27" s="28">
        <f>AO26*AP34</f>
        <v>4.1489734513954364</v>
      </c>
      <c r="AP27" s="20">
        <f t="shared" si="24"/>
        <v>2.1589734513954362</v>
      </c>
      <c r="AQ27" s="22">
        <f>AO27/$AO$14</f>
        <v>2.0849112821082594</v>
      </c>
      <c r="AR27" s="1"/>
      <c r="AS27" s="1"/>
      <c r="AT27" s="18" t="s">
        <v>57</v>
      </c>
      <c r="AU27" s="28">
        <v>3.2003839040743909</v>
      </c>
      <c r="AV27" s="20">
        <f t="shared" si="25"/>
        <v>1.130383904074391</v>
      </c>
      <c r="AW27" s="22">
        <f>AU27/$AO$14</f>
        <v>1.608233117625322</v>
      </c>
      <c r="AX27" s="1"/>
      <c r="AY27" s="1"/>
      <c r="AZ27" s="1"/>
      <c r="BA27" s="1"/>
      <c r="BB27" s="1"/>
      <c r="BC27" s="1"/>
      <c r="BD27" s="1"/>
      <c r="BE27" s="1"/>
      <c r="BF27" s="1"/>
      <c r="BG27" s="1"/>
      <c r="BH27" s="1"/>
      <c r="BI27" s="1"/>
      <c r="BJ27" s="1"/>
      <c r="BK27" s="1"/>
      <c r="BL27" s="1"/>
      <c r="BM27" s="1"/>
      <c r="BN27" s="1"/>
      <c r="BO27" s="1"/>
      <c r="BP27" s="1"/>
      <c r="BQ27" s="1"/>
      <c r="BR27" s="1"/>
      <c r="BS27" s="1"/>
    </row>
    <row r="28" spans="1:71" x14ac:dyDescent="0.25">
      <c r="A28" s="1"/>
      <c r="B28" s="8"/>
      <c r="C28" s="8"/>
      <c r="D28" s="8"/>
      <c r="E28" s="8"/>
      <c r="F28" s="8"/>
      <c r="G28" s="8"/>
      <c r="H28" s="8"/>
      <c r="I28" s="8"/>
      <c r="J28" s="8"/>
      <c r="K28" s="8"/>
      <c r="L28" s="8"/>
      <c r="M28" s="8"/>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x14ac:dyDescent="0.25">
      <c r="A29" s="1"/>
      <c r="B29" s="8" t="s">
        <v>7</v>
      </c>
      <c r="C29" s="8"/>
      <c r="D29" s="8"/>
      <c r="E29" s="8"/>
      <c r="F29" s="8"/>
      <c r="G29" s="8"/>
      <c r="H29" s="8"/>
      <c r="I29" s="8"/>
      <c r="J29" s="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x14ac:dyDescent="0.25">
      <c r="A30" s="1"/>
      <c r="B30" s="11" t="s">
        <v>0</v>
      </c>
      <c r="C30" s="11" t="s">
        <v>1</v>
      </c>
      <c r="D30" s="11" t="s">
        <v>2</v>
      </c>
      <c r="E30" s="11" t="s">
        <v>3</v>
      </c>
      <c r="F30" s="8"/>
      <c r="G30" s="8"/>
      <c r="H30" s="8"/>
      <c r="I30" s="8"/>
      <c r="J30" s="8"/>
      <c r="K30" s="1"/>
      <c r="L30" s="1"/>
      <c r="M30" s="1"/>
      <c r="N30" s="1"/>
      <c r="O30" s="1"/>
      <c r="P30" s="1"/>
      <c r="Q30" s="1"/>
      <c r="R30" s="1"/>
      <c r="S30" s="1"/>
      <c r="T30" s="1"/>
      <c r="U30" s="1"/>
      <c r="V30" s="1"/>
      <c r="W30" s="1"/>
      <c r="X30" s="1"/>
      <c r="Y30" s="1"/>
      <c r="Z30" s="1"/>
      <c r="AA30" s="1"/>
      <c r="AB30" s="1"/>
      <c r="AC30" s="1"/>
      <c r="AD30" s="1" t="s">
        <v>38</v>
      </c>
      <c r="AE30" s="1"/>
      <c r="AF30" s="1"/>
      <c r="AG30" s="1"/>
      <c r="AH30" s="1"/>
      <c r="AI30" s="1"/>
      <c r="AJ30" s="1" t="s">
        <v>49</v>
      </c>
      <c r="AK30" s="1"/>
      <c r="AL30" s="1"/>
      <c r="AM30" s="1"/>
      <c r="AN30" s="1"/>
      <c r="AO30" s="1"/>
      <c r="AP30" s="1" t="s">
        <v>50</v>
      </c>
      <c r="AQ30" s="1"/>
      <c r="AR30" s="1"/>
      <c r="AS30" s="1"/>
      <c r="AT30" s="1"/>
      <c r="AU30" s="1"/>
      <c r="AV30" s="1" t="s">
        <v>51</v>
      </c>
      <c r="AW30" s="1"/>
      <c r="AX30" s="1"/>
      <c r="AY30" s="1"/>
      <c r="AZ30" s="1"/>
      <c r="BA30" s="1"/>
      <c r="BB30" s="1"/>
      <c r="BC30" s="1"/>
      <c r="BD30" s="1"/>
      <c r="BE30" s="1"/>
      <c r="BF30" s="1"/>
      <c r="BG30" s="1"/>
      <c r="BH30" s="1"/>
      <c r="BI30" s="1"/>
      <c r="BJ30" s="1"/>
      <c r="BK30" s="1"/>
      <c r="BL30" s="1"/>
      <c r="BM30" s="1"/>
      <c r="BN30" s="1"/>
      <c r="BO30" s="1"/>
      <c r="BP30" s="1"/>
      <c r="BQ30" s="1"/>
      <c r="BR30" s="1"/>
      <c r="BS30" s="1"/>
    </row>
    <row r="31" spans="1:71" x14ac:dyDescent="0.25">
      <c r="A31" s="1"/>
      <c r="B31" s="16">
        <v>1</v>
      </c>
      <c r="C31" s="7">
        <f>C15+7.36*$K$44</f>
        <v>10.306999999999999</v>
      </c>
      <c r="D31" s="6">
        <f>C31*E31</f>
        <v>1.2865880721220526</v>
      </c>
      <c r="E31" s="21">
        <v>0.12482662968099861</v>
      </c>
      <c r="F31" s="8"/>
      <c r="G31" s="8"/>
      <c r="H31" s="8"/>
      <c r="I31" s="8"/>
      <c r="J31" s="8"/>
      <c r="K31" s="1"/>
      <c r="L31" s="1"/>
      <c r="M31" s="1"/>
      <c r="N31" s="1"/>
      <c r="O31" s="1"/>
      <c r="P31" s="1"/>
      <c r="Q31" s="1"/>
      <c r="R31" s="1"/>
      <c r="S31" s="1"/>
      <c r="T31" s="1"/>
      <c r="U31" s="1"/>
      <c r="V31" s="1"/>
      <c r="W31" s="1"/>
      <c r="X31" s="1"/>
      <c r="Y31" s="1"/>
      <c r="Z31" s="1"/>
      <c r="AA31" s="1"/>
      <c r="AB31" s="1"/>
      <c r="AC31" s="1"/>
      <c r="AD31" s="1">
        <f>AC4/1.2</f>
        <v>3.4275000000000007</v>
      </c>
      <c r="AE31" s="1"/>
      <c r="AF31" s="1"/>
      <c r="AG31" s="1"/>
      <c r="AH31" s="1"/>
      <c r="AI31" s="1"/>
      <c r="AJ31" s="1">
        <f>AI4/1.2</f>
        <v>1.4991666666666668</v>
      </c>
      <c r="AK31" s="1"/>
      <c r="AL31" s="1"/>
      <c r="AM31" s="1"/>
      <c r="AN31" s="1"/>
      <c r="AO31" s="1"/>
      <c r="AP31" s="1">
        <f>AO4/1.2</f>
        <v>1.6608333333333334</v>
      </c>
      <c r="AQ31" s="1"/>
      <c r="AR31" s="1"/>
      <c r="AS31" s="1"/>
      <c r="AT31" s="1"/>
      <c r="AU31" s="1"/>
      <c r="AV31" s="1">
        <f>AU4/1.2</f>
        <v>1.7216666666666667</v>
      </c>
      <c r="AW31" s="1"/>
      <c r="AX31" s="1"/>
      <c r="AY31" s="1"/>
      <c r="AZ31" s="1"/>
      <c r="BA31" s="1"/>
      <c r="BB31" s="1"/>
      <c r="BC31" s="1"/>
      <c r="BD31" s="1"/>
      <c r="BE31" s="1"/>
      <c r="BF31" s="1"/>
      <c r="BG31" s="1"/>
      <c r="BH31" s="1"/>
      <c r="BI31" s="1"/>
      <c r="BJ31" s="1"/>
      <c r="BK31" s="1"/>
      <c r="BL31" s="1"/>
      <c r="BM31" s="1"/>
      <c r="BN31" s="1"/>
      <c r="BO31" s="1"/>
      <c r="BP31" s="1"/>
      <c r="BQ31" s="1"/>
      <c r="BR31" s="1"/>
      <c r="BS31" s="1"/>
    </row>
    <row r="32" spans="1:71" x14ac:dyDescent="0.25">
      <c r="A32" s="1"/>
      <c r="B32" s="16">
        <v>25</v>
      </c>
      <c r="C32" s="7">
        <f>C31/B46</f>
        <v>5.636685298196948</v>
      </c>
      <c r="D32" s="6">
        <f t="shared" ref="D32:D35" si="29">C32*E32</f>
        <v>0.5189238557558945</v>
      </c>
      <c r="E32" s="21">
        <v>9.2061881815876226E-2</v>
      </c>
      <c r="F32" s="8"/>
      <c r="G32" s="8"/>
      <c r="H32" s="8"/>
      <c r="I32" s="8"/>
      <c r="J32" s="8"/>
      <c r="K32" s="1"/>
      <c r="L32" s="1"/>
      <c r="M32" s="1"/>
      <c r="N32" s="1"/>
      <c r="O32" s="1"/>
      <c r="P32" s="1"/>
      <c r="Q32" s="1"/>
      <c r="R32" s="1"/>
      <c r="S32" s="1"/>
      <c r="T32" s="1"/>
      <c r="U32" s="1"/>
      <c r="V32" s="1" t="s">
        <v>37</v>
      </c>
      <c r="W32" s="1"/>
      <c r="X32" s="1"/>
      <c r="Y32" s="1"/>
      <c r="Z32" s="1"/>
      <c r="AA32" s="1"/>
      <c r="AB32" s="1"/>
      <c r="AC32" s="1">
        <f>AC5/AC4</f>
        <v>1.7529783612934595</v>
      </c>
      <c r="AD32" s="1">
        <f>AC5/AC7</f>
        <v>1.0667195341350251</v>
      </c>
      <c r="AE32" s="1"/>
      <c r="AF32" s="1"/>
      <c r="AG32" s="1"/>
      <c r="AH32" s="1"/>
      <c r="AI32" s="1">
        <f>AI5/AI4</f>
        <v>2.1917732073374099</v>
      </c>
      <c r="AJ32" s="1">
        <f>AI5/AI7</f>
        <v>1.255740482423455</v>
      </c>
      <c r="AK32" s="1"/>
      <c r="AL32" s="1"/>
      <c r="AM32" s="1"/>
      <c r="AN32" s="1"/>
      <c r="AO32" s="1">
        <f>AO5/AO4</f>
        <v>1.88509784244857</v>
      </c>
      <c r="AP32" s="1">
        <f>AO5/AO7</f>
        <v>1.5546378442796609</v>
      </c>
      <c r="AQ32" s="1"/>
      <c r="AR32" s="1"/>
      <c r="AS32" s="1"/>
      <c r="AT32" s="1"/>
      <c r="AU32" s="1">
        <f>AU5/AU4</f>
        <v>1.8063891577928366</v>
      </c>
      <c r="AV32" s="1">
        <f>AU5/AU7</f>
        <v>1.5973292244478687</v>
      </c>
      <c r="AW32" s="1"/>
      <c r="AX32" s="1"/>
      <c r="AY32" s="1"/>
      <c r="AZ32" s="1"/>
      <c r="BA32" s="1"/>
      <c r="BB32" s="1"/>
      <c r="BC32" s="1"/>
      <c r="BD32" s="1"/>
      <c r="BE32" s="1"/>
      <c r="BF32" s="1"/>
      <c r="BG32" s="1"/>
      <c r="BH32" s="1"/>
      <c r="BI32" s="1"/>
      <c r="BJ32" s="1"/>
      <c r="BK32" s="1"/>
      <c r="BL32" s="1"/>
      <c r="BM32" s="1"/>
      <c r="BN32" s="1"/>
      <c r="BO32" s="1"/>
      <c r="BP32" s="1"/>
      <c r="BQ32" s="1"/>
      <c r="BR32" s="1"/>
      <c r="BS32" s="1"/>
    </row>
    <row r="33" spans="1:72" x14ac:dyDescent="0.25">
      <c r="A33" s="1"/>
      <c r="B33" s="16">
        <v>50</v>
      </c>
      <c r="C33" s="7">
        <f>C32/B47</f>
        <v>5.4351198335644924</v>
      </c>
      <c r="D33" s="6">
        <f t="shared" si="29"/>
        <v>0.21443134535367536</v>
      </c>
      <c r="E33" s="21">
        <v>3.9452919516044183E-2</v>
      </c>
      <c r="F33" s="8"/>
      <c r="G33" s="8"/>
      <c r="H33" s="8"/>
      <c r="I33" s="8"/>
      <c r="J33" s="8"/>
      <c r="K33" s="1"/>
      <c r="L33" s="1"/>
      <c r="M33" s="1"/>
      <c r="N33" s="1"/>
      <c r="O33" s="1"/>
      <c r="P33" s="1"/>
      <c r="Q33" s="1"/>
      <c r="R33" s="1"/>
      <c r="S33" s="1"/>
      <c r="T33" s="1"/>
      <c r="V33" s="1">
        <f>U4/1.2</f>
        <v>1.6075000000000002</v>
      </c>
      <c r="W33" s="1" t="s">
        <v>94</v>
      </c>
      <c r="X33" s="1"/>
      <c r="Y33" s="1"/>
      <c r="Z33" s="1"/>
      <c r="AA33" s="1"/>
      <c r="AB33" s="1"/>
      <c r="AC33" s="1">
        <f>AC6/AC4</f>
        <v>2.505956722586919</v>
      </c>
      <c r="AD33" s="1">
        <f>AC6/AC7</f>
        <v>1.5249206987974622</v>
      </c>
      <c r="AE33" s="1"/>
      <c r="AF33" s="1"/>
      <c r="AG33" s="1"/>
      <c r="AH33" s="1"/>
      <c r="AI33" s="1">
        <f>AI6/AI4</f>
        <v>3.1332325170633397</v>
      </c>
      <c r="AJ33" s="1">
        <f>AI6/AI7</f>
        <v>1.7951341404075656</v>
      </c>
      <c r="AK33" s="1"/>
      <c r="AL33" s="1"/>
      <c r="AM33" s="1"/>
      <c r="AN33" s="1"/>
      <c r="AO33" s="1">
        <f>AO6/AO4</f>
        <v>2.6948271098637178</v>
      </c>
      <c r="AP33" s="1">
        <f>AO6/AO7</f>
        <v>2.2224205632441696</v>
      </c>
      <c r="AQ33" s="1"/>
      <c r="AR33" s="1"/>
      <c r="AS33" s="1"/>
      <c r="AT33" s="1"/>
      <c r="AU33" s="1">
        <f>AU6/AU4</f>
        <v>2.5823097155854038</v>
      </c>
      <c r="AV33" s="1">
        <f>AU6/AU7</f>
        <v>2.283449697140663</v>
      </c>
      <c r="AW33" s="1"/>
      <c r="AX33" s="1"/>
      <c r="AY33" s="1"/>
      <c r="AZ33" s="1"/>
      <c r="BA33" s="1"/>
      <c r="BB33" s="1"/>
      <c r="BC33" s="1"/>
      <c r="BD33" s="1"/>
      <c r="BE33" s="1"/>
      <c r="BF33" s="1"/>
      <c r="BG33" s="1"/>
      <c r="BH33" s="1"/>
      <c r="BI33" s="1"/>
      <c r="BJ33" s="1"/>
      <c r="BK33" s="1"/>
      <c r="BL33" s="1"/>
      <c r="BM33" s="1"/>
      <c r="BN33" s="1"/>
      <c r="BO33" s="1"/>
      <c r="BP33" s="1"/>
      <c r="BQ33" s="1"/>
      <c r="BR33" s="1"/>
      <c r="BS33" s="1"/>
    </row>
    <row r="34" spans="1:72" x14ac:dyDescent="0.25">
      <c r="A34" s="1"/>
      <c r="B34" s="16">
        <v>75</v>
      </c>
      <c r="C34" s="7">
        <f>C33/B48</f>
        <v>5.3707904299583902</v>
      </c>
      <c r="D34" s="6">
        <f t="shared" si="29"/>
        <v>0.12437018030513172</v>
      </c>
      <c r="E34" s="21">
        <v>2.3156774021825921E-2</v>
      </c>
      <c r="F34" s="8"/>
      <c r="G34" s="8"/>
      <c r="H34" s="8"/>
      <c r="I34" s="8"/>
      <c r="J34" s="8"/>
      <c r="K34" s="1"/>
      <c r="L34" s="1"/>
      <c r="M34" s="1"/>
      <c r="N34" s="1"/>
      <c r="O34" s="1"/>
      <c r="P34" s="1"/>
      <c r="Q34" s="1"/>
      <c r="R34" s="1"/>
      <c r="S34" s="1"/>
      <c r="T34" s="1"/>
      <c r="U34" s="1">
        <f>U5/U4</f>
        <v>1.9709694142042509</v>
      </c>
      <c r="V34" s="1">
        <f>U5/U7</f>
        <v>1.4599156766221502</v>
      </c>
      <c r="W34" s="1" t="s">
        <v>96</v>
      </c>
      <c r="X34" s="1"/>
      <c r="Y34" s="1"/>
      <c r="Z34" s="1"/>
      <c r="AA34" s="1"/>
      <c r="AB34" s="1"/>
      <c r="AC34" s="1">
        <f>AC7/AC4</f>
        <v>1.6433357646486746</v>
      </c>
      <c r="AD34" s="1">
        <f>AC8/AC7</f>
        <v>1.9288123757219959</v>
      </c>
      <c r="AE34" s="1"/>
      <c r="AF34" s="1"/>
      <c r="AG34" s="1"/>
      <c r="AH34" s="1"/>
      <c r="AI34" s="1">
        <f>AI7/AI4</f>
        <v>1.7454030016675932</v>
      </c>
      <c r="AJ34" s="1">
        <f>AI8/AI7</f>
        <v>2.085795032788226</v>
      </c>
      <c r="AK34" s="1"/>
      <c r="AL34" s="1"/>
      <c r="AM34" s="1"/>
      <c r="AN34" s="1"/>
      <c r="AO34" s="1">
        <f>AO7/AO4</f>
        <v>1.2125639739086804</v>
      </c>
      <c r="AP34" s="1">
        <f>AO8/AO7</f>
        <v>2.3130810343956272</v>
      </c>
      <c r="AQ34" s="1"/>
      <c r="AR34" s="1"/>
      <c r="AS34" s="1"/>
      <c r="AT34" s="1"/>
      <c r="AU34" s="1">
        <f>AU7/AU4</f>
        <v>1.1308809293320425</v>
      </c>
      <c r="AV34" s="1">
        <f>AU8/AU7</f>
        <v>2.3444102391893566</v>
      </c>
      <c r="AW34" s="1"/>
      <c r="AX34" s="1"/>
      <c r="AY34" s="1"/>
      <c r="AZ34" s="1"/>
      <c r="BA34" s="1"/>
      <c r="BB34" s="1"/>
      <c r="BC34" s="1"/>
      <c r="BD34" s="1"/>
      <c r="BE34" s="1"/>
      <c r="BF34" s="1"/>
      <c r="BG34" s="1"/>
      <c r="BH34" s="1"/>
      <c r="BI34" s="1"/>
      <c r="BJ34" s="1"/>
      <c r="BK34" s="1"/>
      <c r="BL34" s="1"/>
      <c r="BM34" s="1"/>
      <c r="BN34" s="1"/>
      <c r="BO34" s="1"/>
      <c r="BP34" s="1"/>
      <c r="BQ34" s="1"/>
      <c r="BR34" s="1"/>
      <c r="BS34" s="1"/>
    </row>
    <row r="35" spans="1:72" x14ac:dyDescent="0.25">
      <c r="A35" s="1"/>
      <c r="B35" s="16">
        <v>100</v>
      </c>
      <c r="C35" s="7">
        <f>C34/B49</f>
        <v>5.3350518723994442</v>
      </c>
      <c r="D35" s="6">
        <f t="shared" si="29"/>
        <v>8.8631622746185829E-2</v>
      </c>
      <c r="E35" s="21">
        <v>1.6613076098606645E-2</v>
      </c>
      <c r="F35" s="8"/>
      <c r="G35" s="8"/>
      <c r="H35" s="8"/>
      <c r="I35" s="8"/>
      <c r="J35" s="8"/>
      <c r="K35" s="1"/>
      <c r="L35" s="1"/>
      <c r="M35" s="1"/>
      <c r="N35" s="1"/>
      <c r="O35" s="1"/>
      <c r="P35" s="1"/>
      <c r="Q35" s="1"/>
      <c r="R35" s="1"/>
      <c r="S35" s="1"/>
      <c r="T35" s="1"/>
      <c r="U35" s="1">
        <f>U6/U4</f>
        <v>2.8175841542584199</v>
      </c>
      <c r="V35" s="1">
        <f>U6/U7</f>
        <v>2.0870112176067264</v>
      </c>
      <c r="W35" s="1" t="s">
        <v>97</v>
      </c>
      <c r="X35" s="1"/>
      <c r="Y35" s="1"/>
      <c r="Z35" s="1"/>
      <c r="AA35" s="1"/>
      <c r="AB35" s="1"/>
      <c r="AC35" s="1">
        <f>AC8/AC4</f>
        <v>3.1696863603209331</v>
      </c>
      <c r="AD35" s="1"/>
      <c r="AE35" s="1"/>
      <c r="AF35" s="1"/>
      <c r="AG35" s="1"/>
      <c r="AH35" s="1"/>
      <c r="AI35" s="1">
        <f>AI8/AI4</f>
        <v>3.6405529110919255</v>
      </c>
      <c r="AJ35" s="1"/>
      <c r="AK35" s="1"/>
      <c r="AL35" s="1"/>
      <c r="AM35" s="1"/>
      <c r="AN35" s="1"/>
      <c r="AO35" s="1">
        <f>AO8/AO4</f>
        <v>2.8047587310395627</v>
      </c>
      <c r="AP35" s="1"/>
      <c r="AQ35" s="1"/>
      <c r="AR35" s="1"/>
      <c r="AS35" s="1"/>
      <c r="AT35" s="1"/>
      <c r="AU35" s="1">
        <f>AU8/AU4</f>
        <v>2.6512488300300157</v>
      </c>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2" x14ac:dyDescent="0.25">
      <c r="A36" s="1"/>
      <c r="B36" s="1"/>
      <c r="C36" s="1"/>
      <c r="D36" s="1"/>
      <c r="E36" s="1"/>
      <c r="F36" s="1"/>
      <c r="G36" s="1"/>
      <c r="H36" s="1"/>
      <c r="I36" s="1"/>
      <c r="J36" s="1"/>
      <c r="K36" s="1"/>
      <c r="L36" s="1"/>
      <c r="M36" s="1"/>
      <c r="N36" s="1"/>
      <c r="O36" s="1"/>
      <c r="P36" s="1"/>
      <c r="Q36" s="1"/>
      <c r="R36" s="1"/>
      <c r="S36" s="1"/>
      <c r="T36" s="1"/>
      <c r="U36" s="1">
        <f>U7/U4</f>
        <v>1.3500570243649557</v>
      </c>
      <c r="V36" s="1">
        <f>U8/U7</f>
        <v>2.2426144461958044</v>
      </c>
      <c r="W36" s="1" t="s">
        <v>98</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x14ac:dyDescent="0.25">
      <c r="A37" s="1"/>
      <c r="B37" s="1"/>
      <c r="C37" s="1"/>
      <c r="D37" s="1"/>
      <c r="E37" s="1"/>
      <c r="F37" s="1"/>
      <c r="G37" s="1"/>
      <c r="H37" s="1"/>
      <c r="I37" s="1"/>
      <c r="J37" s="1"/>
      <c r="K37" s="1"/>
      <c r="L37" s="1"/>
      <c r="M37" s="1"/>
      <c r="N37" s="1"/>
      <c r="O37" s="1"/>
      <c r="P37" s="1"/>
      <c r="Q37" s="1"/>
      <c r="R37" s="1"/>
      <c r="S37" s="1"/>
      <c r="T37" s="1"/>
      <c r="U37" s="1">
        <f>U8/U4</f>
        <v>3.0276573860289706</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x14ac:dyDescent="0.25">
      <c r="A40" s="1"/>
      <c r="B40" s="1"/>
      <c r="C40" s="26"/>
      <c r="D40" s="26"/>
      <c r="E40" s="26"/>
      <c r="F40" s="26"/>
      <c r="G40" s="26"/>
      <c r="H40" s="26"/>
      <c r="I40" s="26"/>
      <c r="J40" s="26"/>
      <c r="K40" s="26"/>
      <c r="L40" s="26"/>
      <c r="M40" s="26"/>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x14ac:dyDescent="0.25">
      <c r="B41" s="26"/>
      <c r="C41" s="26"/>
      <c r="D41" s="26"/>
      <c r="E41" s="26"/>
      <c r="F41" s="26"/>
      <c r="G41" s="26"/>
      <c r="H41" s="26"/>
      <c r="I41" s="26"/>
      <c r="J41" s="26"/>
      <c r="K41" s="26"/>
      <c r="L41" s="26"/>
      <c r="M41" s="26"/>
      <c r="R41" s="1"/>
      <c r="S41" s="1"/>
      <c r="T41" s="1"/>
      <c r="Y41" s="1"/>
      <c r="Z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x14ac:dyDescent="0.25">
      <c r="B42" s="26"/>
      <c r="C42" s="26"/>
      <c r="D42" s="26"/>
      <c r="E42" s="26"/>
      <c r="F42" s="26"/>
      <c r="G42" s="26"/>
      <c r="H42" s="26"/>
      <c r="I42" s="26"/>
      <c r="J42" s="26"/>
      <c r="K42" s="26"/>
      <c r="L42" s="26"/>
      <c r="M42" s="26"/>
      <c r="R42" s="1"/>
      <c r="S42" s="1"/>
      <c r="T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x14ac:dyDescent="0.25">
      <c r="B43" s="26"/>
      <c r="C43" s="26"/>
      <c r="D43" s="26"/>
      <c r="E43" s="26"/>
      <c r="F43" s="26"/>
      <c r="G43" s="26"/>
      <c r="H43" s="26"/>
      <c r="I43" s="26"/>
      <c r="J43" s="26"/>
      <c r="K43" s="26"/>
      <c r="L43" s="26"/>
      <c r="M43" s="26"/>
      <c r="R43" s="1"/>
      <c r="S43" s="1"/>
      <c r="T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x14ac:dyDescent="0.25">
      <c r="B44" s="26" t="s">
        <v>9</v>
      </c>
      <c r="C44" s="26"/>
      <c r="D44" s="26"/>
      <c r="E44" s="26"/>
      <c r="F44" s="26" t="s">
        <v>10</v>
      </c>
      <c r="G44" s="26"/>
      <c r="H44" s="26" t="s">
        <v>11</v>
      </c>
      <c r="I44" s="26"/>
      <c r="J44" s="26"/>
      <c r="K44" s="26">
        <f>B45/3.68</f>
        <v>0.84157608695652153</v>
      </c>
      <c r="L44" s="26" t="s">
        <v>19</v>
      </c>
      <c r="M44" s="26"/>
      <c r="R44" s="1"/>
      <c r="S44" s="1"/>
      <c r="T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x14ac:dyDescent="0.25">
      <c r="A45" s="1"/>
      <c r="B45" s="27">
        <f>C23-C15</f>
        <v>3.0969999999999995</v>
      </c>
      <c r="C45" s="26" t="s">
        <v>88</v>
      </c>
      <c r="D45" s="26"/>
      <c r="E45" s="26"/>
      <c r="F45" s="26"/>
      <c r="G45" s="26"/>
      <c r="H45" s="26"/>
      <c r="I45" s="26"/>
      <c r="J45" s="26"/>
      <c r="K45" s="26"/>
      <c r="L45" s="26" t="s">
        <v>19</v>
      </c>
      <c r="M45" s="26"/>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row>
    <row r="46" spans="1:72" x14ac:dyDescent="0.25">
      <c r="A46" s="1"/>
      <c r="B46" s="26">
        <f>C23/C24</f>
        <v>1.8285569363428862</v>
      </c>
      <c r="C46" s="59" t="s">
        <v>89</v>
      </c>
      <c r="D46" s="26"/>
      <c r="E46" s="26"/>
      <c r="F46" s="26">
        <f>L15/L16</f>
        <v>2.152574220217963</v>
      </c>
      <c r="G46" s="26"/>
      <c r="H46" s="26">
        <f>(F46+B46)/2</f>
        <v>1.9905655782804246</v>
      </c>
      <c r="I46" s="59" t="s">
        <v>89</v>
      </c>
      <c r="J46" s="26"/>
      <c r="K46" s="26"/>
      <c r="L46" s="26"/>
      <c r="M46" s="26"/>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x14ac:dyDescent="0.25">
      <c r="A47" s="1"/>
      <c r="B47" s="26">
        <f>C24/C25</f>
        <v>1.0370857443450816</v>
      </c>
      <c r="C47" s="59" t="s">
        <v>90</v>
      </c>
      <c r="D47" s="26"/>
      <c r="E47" s="26"/>
      <c r="F47" s="26">
        <f>L16/L17</f>
        <v>1.2057091073855914</v>
      </c>
      <c r="G47" s="26"/>
      <c r="H47" s="26">
        <f t="shared" ref="H47:H49" si="30">(F47+B47)/2</f>
        <v>1.1213974258653365</v>
      </c>
      <c r="I47" s="59" t="s">
        <v>90</v>
      </c>
      <c r="J47" s="26"/>
      <c r="K47" s="26"/>
      <c r="L47" s="26"/>
      <c r="M47" s="26"/>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x14ac:dyDescent="0.25">
      <c r="A48" s="1"/>
      <c r="B48" s="26">
        <f>C25/C26</f>
        <v>1.0119776417354271</v>
      </c>
      <c r="C48" s="59" t="s">
        <v>91</v>
      </c>
      <c r="D48" s="26"/>
      <c r="E48" s="26"/>
      <c r="F48" s="26">
        <f>L17/L18</f>
        <v>1.07763671875</v>
      </c>
      <c r="G48" s="26"/>
      <c r="H48" s="26">
        <f t="shared" si="30"/>
        <v>1.0448071802427137</v>
      </c>
      <c r="I48" s="59" t="s">
        <v>91</v>
      </c>
      <c r="J48" s="26"/>
      <c r="K48" s="26"/>
      <c r="L48" s="26"/>
      <c r="M48" s="26"/>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x14ac:dyDescent="0.25">
      <c r="A49" s="1"/>
      <c r="B49" s="26">
        <f>C26/C27</f>
        <v>1.0066988210075027</v>
      </c>
      <c r="C49" s="59" t="s">
        <v>92</v>
      </c>
      <c r="D49" s="26"/>
      <c r="E49" s="26"/>
      <c r="F49" s="26">
        <f>L18/L19</f>
        <v>1.0343434343434343</v>
      </c>
      <c r="G49" s="26"/>
      <c r="H49" s="26">
        <f t="shared" si="30"/>
        <v>1.0205211276754684</v>
      </c>
      <c r="I49" s="59" t="s">
        <v>92</v>
      </c>
      <c r="J49" s="26"/>
      <c r="K49" s="26"/>
      <c r="L49" s="26"/>
      <c r="M49" s="26"/>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x14ac:dyDescent="0.25">
      <c r="A50" s="1"/>
      <c r="B50" s="26"/>
      <c r="C50" s="26"/>
      <c r="D50" s="26"/>
      <c r="E50" s="26"/>
      <c r="F50" s="26"/>
      <c r="G50" s="26"/>
      <c r="H50" s="26"/>
      <c r="I50" s="26"/>
      <c r="J50" s="26"/>
      <c r="K50" s="26"/>
      <c r="L50" s="26"/>
      <c r="M50" s="26"/>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x14ac:dyDescent="0.25">
      <c r="A51" s="1"/>
      <c r="B51" s="26"/>
      <c r="C51" s="26"/>
      <c r="D51" s="26"/>
      <c r="E51" s="26"/>
      <c r="F51" s="26"/>
      <c r="G51" s="23"/>
      <c r="H51" s="23"/>
      <c r="I51" s="23"/>
      <c r="J51" s="23"/>
      <c r="K51" s="23"/>
      <c r="L51" s="23"/>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7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x14ac:dyDescent="0.25">
      <c r="BN57" s="1"/>
      <c r="BO57" s="1"/>
      <c r="BP57" s="1"/>
      <c r="BQ57" s="1"/>
      <c r="BR57" s="1"/>
      <c r="BS57" s="1"/>
      <c r="BT57" s="1"/>
    </row>
  </sheetData>
  <mergeCells count="3">
    <mergeCell ref="K21:N21"/>
    <mergeCell ref="X3:X8"/>
    <mergeCell ref="O22:O27"/>
  </mergeCells>
  <pageMargins left="0.7" right="0.7" top="0.75" bottom="0.75" header="0.3" footer="0.3"/>
  <pageSetup paperSize="9" orientation="portrait" r:id="rId1"/>
  <headerFooter>
    <oddFooter>&amp;C&amp;1#&amp;"Calibri"&amp;12&amp;K008000Internal Use</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97A6-85B3-4A67-9BE1-660BE1F9C2C5}">
  <sheetPr>
    <tabColor rgb="FFFF0000"/>
  </sheetPr>
  <dimension ref="A1:BT57"/>
  <sheetViews>
    <sheetView topLeftCell="AN1" zoomScaleNormal="100" workbookViewId="0">
      <selection activeCell="BJ24" sqref="BJ24"/>
    </sheetView>
  </sheetViews>
  <sheetFormatPr defaultRowHeight="15" x14ac:dyDescent="0.25"/>
  <cols>
    <col min="1" max="1" width="9.140625" customWidth="1"/>
    <col min="2" max="2" width="32.85546875" customWidth="1"/>
    <col min="3" max="10" width="9.140625" customWidth="1"/>
    <col min="11" max="11" width="31.85546875" customWidth="1"/>
    <col min="12" max="19" width="9.140625" customWidth="1"/>
    <col min="20" max="20" width="66.28515625" customWidth="1"/>
    <col min="21" max="21" width="9.140625" customWidth="1"/>
    <col min="22" max="22" width="19.7109375" customWidth="1"/>
    <col min="23" max="23" width="9.140625" customWidth="1"/>
    <col min="24" max="24" width="16.5703125" customWidth="1"/>
    <col min="25" max="27" width="9.140625" customWidth="1"/>
    <col min="28" max="28" width="63.140625" customWidth="1"/>
    <col min="29" max="29" width="9.140625" customWidth="1"/>
    <col min="30" max="30" width="19.7109375" customWidth="1"/>
    <col min="31" max="33" width="9.140625" customWidth="1"/>
    <col min="34" max="34" width="65.28515625" customWidth="1"/>
    <col min="35" max="35" width="9.140625" customWidth="1"/>
    <col min="36" max="36" width="21.28515625" customWidth="1"/>
    <col min="37" max="39" width="9.140625" customWidth="1"/>
    <col min="40" max="40" width="65.28515625" customWidth="1"/>
    <col min="41" max="41" width="9.140625" customWidth="1"/>
    <col min="42" max="42" width="24.28515625" customWidth="1"/>
    <col min="43" max="45" width="9.140625" customWidth="1"/>
    <col min="46" max="46" width="65.28515625" customWidth="1"/>
    <col min="47" max="47" width="9.140625" customWidth="1"/>
    <col min="48" max="48" width="19.140625" customWidth="1"/>
    <col min="49" max="51" width="9.140625" customWidth="1"/>
    <col min="52" max="52" width="40.5703125" customWidth="1"/>
    <col min="53" max="53" width="31.140625" customWidth="1"/>
    <col min="54" max="54" width="10" bestFit="1" customWidth="1"/>
  </cols>
  <sheetData>
    <row r="1" spans="1:7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x14ac:dyDescent="0.25">
      <c r="A2" s="1"/>
      <c r="B2" s="2" t="s">
        <v>4</v>
      </c>
      <c r="C2" s="2"/>
      <c r="D2" s="2"/>
      <c r="E2" s="3"/>
      <c r="F2" s="3"/>
      <c r="G2" s="3"/>
      <c r="H2" s="3"/>
      <c r="I2" s="3"/>
      <c r="J2" s="3"/>
      <c r="K2" s="2" t="s">
        <v>204</v>
      </c>
      <c r="L2" s="2"/>
      <c r="M2" s="2"/>
      <c r="N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x14ac:dyDescent="0.25">
      <c r="A3" s="1"/>
      <c r="B3" s="5" t="s">
        <v>0</v>
      </c>
      <c r="C3" s="5" t="s">
        <v>1</v>
      </c>
      <c r="D3" s="5" t="s">
        <v>2</v>
      </c>
      <c r="E3" s="5" t="s">
        <v>3</v>
      </c>
      <c r="F3" s="4"/>
      <c r="G3" s="4"/>
      <c r="H3" s="4"/>
      <c r="I3" s="4"/>
      <c r="J3" s="4"/>
      <c r="K3" s="14" t="s">
        <v>0</v>
      </c>
      <c r="L3" s="14" t="s">
        <v>1</v>
      </c>
      <c r="M3" s="14" t="s">
        <v>2</v>
      </c>
      <c r="N3" s="14" t="s">
        <v>3</v>
      </c>
      <c r="O3" s="1"/>
      <c r="P3" s="1"/>
      <c r="Q3" s="1"/>
      <c r="R3" s="1"/>
      <c r="S3" s="1"/>
      <c r="T3" s="19" t="s">
        <v>22</v>
      </c>
      <c r="U3" s="19" t="s">
        <v>8</v>
      </c>
      <c r="V3" s="19" t="s">
        <v>12</v>
      </c>
      <c r="W3" s="19" t="s">
        <v>13</v>
      </c>
      <c r="X3" s="475" t="s">
        <v>93</v>
      </c>
      <c r="Y3" s="1"/>
      <c r="Z3" s="1"/>
      <c r="AA3" s="1"/>
      <c r="AB3" s="19" t="s">
        <v>30</v>
      </c>
      <c r="AC3" s="19" t="s">
        <v>8</v>
      </c>
      <c r="AD3" s="19" t="s">
        <v>12</v>
      </c>
      <c r="AE3" s="19" t="s">
        <v>13</v>
      </c>
      <c r="AF3" s="1"/>
      <c r="AG3" s="1"/>
      <c r="AH3" s="19" t="s">
        <v>40</v>
      </c>
      <c r="AI3" s="19" t="s">
        <v>8</v>
      </c>
      <c r="AJ3" s="19" t="s">
        <v>12</v>
      </c>
      <c r="AK3" s="19" t="s">
        <v>13</v>
      </c>
      <c r="AL3" s="1"/>
      <c r="AM3" s="1"/>
      <c r="AN3" s="19" t="s">
        <v>41</v>
      </c>
      <c r="AO3" s="19" t="s">
        <v>8</v>
      </c>
      <c r="AP3" s="19" t="s">
        <v>12</v>
      </c>
      <c r="AQ3" s="19" t="s">
        <v>13</v>
      </c>
      <c r="AR3" s="1"/>
      <c r="AS3" s="1"/>
      <c r="AT3" s="19" t="s">
        <v>42</v>
      </c>
      <c r="AU3" s="19" t="s">
        <v>8</v>
      </c>
      <c r="AV3" s="19" t="s">
        <v>12</v>
      </c>
      <c r="AW3" s="19" t="s">
        <v>13</v>
      </c>
      <c r="AX3" s="1"/>
      <c r="AY3" s="1"/>
      <c r="AZ3" s="106" t="s">
        <v>52</v>
      </c>
      <c r="BA3" s="106" t="s">
        <v>54</v>
      </c>
      <c r="BB3" s="106" t="s">
        <v>60</v>
      </c>
      <c r="BC3" s="1"/>
      <c r="BD3" s="1"/>
      <c r="BE3" s="1"/>
      <c r="BF3" s="1"/>
      <c r="BG3" s="1"/>
      <c r="BH3" s="1"/>
      <c r="BI3" s="1"/>
      <c r="BJ3" s="1"/>
      <c r="BK3" s="1"/>
      <c r="BL3" s="1"/>
      <c r="BM3" s="1"/>
      <c r="BN3" s="1"/>
      <c r="BO3" s="1"/>
      <c r="BP3" s="1"/>
      <c r="BQ3" s="1"/>
      <c r="BR3" s="1"/>
      <c r="BS3" s="1"/>
    </row>
    <row r="4" spans="1:71" x14ac:dyDescent="0.25">
      <c r="A4" s="1"/>
      <c r="B4" s="16">
        <v>1</v>
      </c>
      <c r="C4" s="7">
        <v>3.5870000000000002</v>
      </c>
      <c r="D4" s="6">
        <v>0.54900000000000004</v>
      </c>
      <c r="E4" s="21">
        <f>D4/C4</f>
        <v>0.15305269027042098</v>
      </c>
      <c r="F4" s="8"/>
      <c r="G4" s="8"/>
      <c r="H4" s="8"/>
      <c r="I4" s="8"/>
      <c r="J4" s="8"/>
      <c r="K4" s="17">
        <v>1</v>
      </c>
      <c r="L4" s="7">
        <v>2.8439999999999999</v>
      </c>
      <c r="M4" s="9">
        <v>0.54900000000000004</v>
      </c>
      <c r="N4" s="21">
        <f>M4/L4</f>
        <v>0.19303797468354433</v>
      </c>
      <c r="O4" s="1"/>
      <c r="P4" s="1"/>
      <c r="Q4" s="1"/>
      <c r="R4" s="1"/>
      <c r="S4" s="1"/>
      <c r="T4" s="18" t="s">
        <v>21</v>
      </c>
      <c r="U4" s="7">
        <f>C17</f>
        <v>1.929</v>
      </c>
      <c r="V4" s="20">
        <f>U4-$U$4</f>
        <v>0</v>
      </c>
      <c r="W4" s="22">
        <v>0</v>
      </c>
      <c r="X4" s="475"/>
      <c r="Y4" s="1"/>
      <c r="Z4" s="1"/>
      <c r="AA4" s="1"/>
      <c r="AB4" s="18" t="s">
        <v>21</v>
      </c>
      <c r="AC4" s="7">
        <f>C15</f>
        <v>4.1130000000000004</v>
      </c>
      <c r="AD4" s="20">
        <f>AC4-$AC$4</f>
        <v>0</v>
      </c>
      <c r="AE4" s="22">
        <v>0</v>
      </c>
      <c r="AF4" s="1"/>
      <c r="AG4" s="1"/>
      <c r="AH4" s="18" t="s">
        <v>21</v>
      </c>
      <c r="AI4" s="7">
        <f>C16</f>
        <v>1.7989999999999999</v>
      </c>
      <c r="AJ4" s="20">
        <f>AI4-$AI$4</f>
        <v>0</v>
      </c>
      <c r="AK4" s="22">
        <v>0</v>
      </c>
      <c r="AL4" s="1"/>
      <c r="AM4" s="1"/>
      <c r="AN4" s="18" t="s">
        <v>21</v>
      </c>
      <c r="AO4" s="7">
        <f>C18</f>
        <v>1.9930000000000001</v>
      </c>
      <c r="AP4" s="20">
        <f>AO4-$AO$4</f>
        <v>0</v>
      </c>
      <c r="AQ4" s="22">
        <v>0</v>
      </c>
      <c r="AR4" s="1"/>
      <c r="AS4" s="1"/>
      <c r="AT4" s="18" t="s">
        <v>21</v>
      </c>
      <c r="AU4" s="7">
        <f>C19</f>
        <v>2.0659999999999998</v>
      </c>
      <c r="AV4" s="20">
        <f>AU4-$U$4</f>
        <v>0.13699999999999979</v>
      </c>
      <c r="AW4" s="22">
        <v>0</v>
      </c>
      <c r="AX4" s="1"/>
      <c r="AY4" s="1"/>
      <c r="AZ4" s="107" t="s">
        <v>61</v>
      </c>
      <c r="BA4" s="108" t="s">
        <v>63</v>
      </c>
      <c r="BB4" s="109">
        <v>25</v>
      </c>
      <c r="BC4" s="1"/>
      <c r="BD4" s="1"/>
      <c r="BE4" s="1"/>
      <c r="BF4" s="1"/>
      <c r="BG4" s="1"/>
      <c r="BH4" s="1"/>
      <c r="BI4" s="1"/>
      <c r="BJ4" s="1"/>
      <c r="BK4" s="1"/>
      <c r="BL4" s="1"/>
      <c r="BM4" s="1"/>
      <c r="BN4" s="1"/>
      <c r="BO4" s="1"/>
      <c r="BP4" s="1"/>
      <c r="BQ4" s="1"/>
      <c r="BR4" s="1"/>
      <c r="BS4" s="1"/>
    </row>
    <row r="5" spans="1:71" x14ac:dyDescent="0.25">
      <c r="A5" s="1"/>
      <c r="B5" s="16">
        <v>25</v>
      </c>
      <c r="C5" s="7">
        <v>3.7559999999999998</v>
      </c>
      <c r="D5" s="6">
        <v>2.1000000000000001E-2</v>
      </c>
      <c r="E5" s="21">
        <f t="shared" ref="E5:E8" si="0">D5/C5</f>
        <v>5.5910543130990422E-3</v>
      </c>
      <c r="F5" s="8"/>
      <c r="G5" s="8"/>
      <c r="H5" s="8"/>
      <c r="I5" s="8"/>
      <c r="J5" s="8"/>
      <c r="K5" s="17">
        <v>25</v>
      </c>
      <c r="L5" s="7">
        <v>1.58</v>
      </c>
      <c r="M5" s="9">
        <v>0.317</v>
      </c>
      <c r="N5" s="21">
        <f t="shared" ref="N5:N8" si="1">M5/L5</f>
        <v>0.20063291139240505</v>
      </c>
      <c r="O5" s="1"/>
      <c r="P5" s="1"/>
      <c r="Q5" s="1"/>
      <c r="R5" s="1"/>
      <c r="S5" s="1"/>
      <c r="T5" s="18" t="s">
        <v>16</v>
      </c>
      <c r="U5" s="7">
        <f>C25</f>
        <v>3.802</v>
      </c>
      <c r="V5" s="20">
        <f>U5-$U$4</f>
        <v>1.873</v>
      </c>
      <c r="W5" s="22">
        <f>U5/$U$4</f>
        <v>1.9709694142042509</v>
      </c>
      <c r="X5" s="475"/>
      <c r="Y5" s="1"/>
      <c r="Z5" s="1"/>
      <c r="AA5" s="1"/>
      <c r="AB5" s="18" t="s">
        <v>16</v>
      </c>
      <c r="AC5" s="7">
        <f>C23</f>
        <v>7.21</v>
      </c>
      <c r="AD5" s="20">
        <f t="shared" ref="AD5:AD8" si="2">AC5-$AC$4</f>
        <v>3.0969999999999995</v>
      </c>
      <c r="AE5" s="22">
        <f>AC5/$AC$4</f>
        <v>1.7529783612934595</v>
      </c>
      <c r="AF5" s="1"/>
      <c r="AG5" s="1"/>
      <c r="AH5" s="18" t="s">
        <v>16</v>
      </c>
      <c r="AI5" s="7">
        <f>C24</f>
        <v>3.9430000000000001</v>
      </c>
      <c r="AJ5" s="20">
        <f t="shared" ref="AJ5:AJ8" si="3">AI5-$AI$4</f>
        <v>2.1440000000000001</v>
      </c>
      <c r="AK5" s="22">
        <f>AI5/$AI$4</f>
        <v>2.1917732073374099</v>
      </c>
      <c r="AL5" s="1"/>
      <c r="AM5" s="1"/>
      <c r="AN5" s="18" t="s">
        <v>16</v>
      </c>
      <c r="AO5" s="7">
        <f>C26</f>
        <v>3.7570000000000001</v>
      </c>
      <c r="AP5" s="20">
        <f t="shared" ref="AP5:AP8" si="4">AO5-$AO$4</f>
        <v>1.764</v>
      </c>
      <c r="AQ5" s="22">
        <f>AO5/$AO$4</f>
        <v>1.88509784244857</v>
      </c>
      <c r="AR5" s="1"/>
      <c r="AS5" s="1"/>
      <c r="AT5" s="18" t="s">
        <v>16</v>
      </c>
      <c r="AU5" s="7">
        <f>C27</f>
        <v>3.7320000000000002</v>
      </c>
      <c r="AV5" s="20">
        <f>AU5-$U$4</f>
        <v>1.8030000000000002</v>
      </c>
      <c r="AW5" s="22">
        <f>AU5/$U$4</f>
        <v>1.9346811819595646</v>
      </c>
      <c r="AX5" s="1"/>
      <c r="AY5" s="1"/>
      <c r="AZ5" s="110" t="s">
        <v>62</v>
      </c>
      <c r="BA5" s="111" t="s">
        <v>56</v>
      </c>
      <c r="BB5" s="112">
        <v>0</v>
      </c>
      <c r="BC5" s="1"/>
      <c r="BD5" s="1"/>
      <c r="BE5" s="1"/>
      <c r="BF5" s="1"/>
      <c r="BG5" s="1"/>
      <c r="BH5" s="1"/>
      <c r="BI5" s="1"/>
      <c r="BJ5" s="1"/>
      <c r="BK5" s="1"/>
      <c r="BL5" s="1"/>
      <c r="BM5" s="1"/>
      <c r="BN5" s="1"/>
      <c r="BO5" s="1"/>
      <c r="BP5" s="1"/>
      <c r="BQ5" s="1"/>
      <c r="BR5" s="1"/>
      <c r="BS5" s="1"/>
    </row>
    <row r="6" spans="1:71" x14ac:dyDescent="0.25">
      <c r="A6" s="1"/>
      <c r="B6" s="16">
        <v>50</v>
      </c>
      <c r="C6" s="7">
        <v>3.7370000000000001</v>
      </c>
      <c r="D6" s="6">
        <v>3.1E-2</v>
      </c>
      <c r="E6" s="21">
        <f t="shared" si="0"/>
        <v>8.2954241370082945E-3</v>
      </c>
      <c r="F6" s="8"/>
      <c r="G6" s="10"/>
      <c r="H6" s="8"/>
      <c r="I6" s="8"/>
      <c r="J6" s="8"/>
      <c r="K6" s="17">
        <v>50</v>
      </c>
      <c r="L6" s="7">
        <v>1.389</v>
      </c>
      <c r="M6" s="9">
        <v>0.192</v>
      </c>
      <c r="N6" s="21">
        <f t="shared" si="1"/>
        <v>0.13822894168466524</v>
      </c>
      <c r="O6" s="1"/>
      <c r="P6" s="1"/>
      <c r="Q6" s="1"/>
      <c r="R6" s="1"/>
      <c r="S6" s="1"/>
      <c r="T6" s="18" t="s">
        <v>17</v>
      </c>
      <c r="U6" s="7">
        <f>C33</f>
        <v>5.4351198335644924</v>
      </c>
      <c r="V6" s="20">
        <f>U6-$U$4</f>
        <v>3.5061198335644921</v>
      </c>
      <c r="W6" s="22">
        <f t="shared" ref="W6:W8" si="5">U6/$U$4</f>
        <v>2.8175841542584199</v>
      </c>
      <c r="X6" s="475"/>
      <c r="Y6" s="1"/>
      <c r="Z6" s="1"/>
      <c r="AA6" s="1"/>
      <c r="AB6" s="18" t="s">
        <v>17</v>
      </c>
      <c r="AC6" s="7">
        <f>C31</f>
        <v>10.306999999999999</v>
      </c>
      <c r="AD6" s="20">
        <f t="shared" si="2"/>
        <v>6.1939999999999982</v>
      </c>
      <c r="AE6" s="22">
        <f t="shared" ref="AE6:AE8" si="6">AC6/$AC$4</f>
        <v>2.505956722586919</v>
      </c>
      <c r="AF6" s="1"/>
      <c r="AG6" s="1"/>
      <c r="AH6" s="18" t="s">
        <v>17</v>
      </c>
      <c r="AI6" s="7">
        <f>C32</f>
        <v>5.636685298196948</v>
      </c>
      <c r="AJ6" s="20">
        <f t="shared" si="3"/>
        <v>3.837685298196948</v>
      </c>
      <c r="AK6" s="22">
        <f t="shared" ref="AK6:AK8" si="7">AI6/$AI$4</f>
        <v>3.1332325170633397</v>
      </c>
      <c r="AL6" s="1"/>
      <c r="AM6" s="1"/>
      <c r="AN6" s="18" t="s">
        <v>17</v>
      </c>
      <c r="AO6" s="7">
        <f>C34</f>
        <v>5.3707904299583902</v>
      </c>
      <c r="AP6" s="20">
        <f t="shared" si="4"/>
        <v>3.3777904299583899</v>
      </c>
      <c r="AQ6" s="22">
        <f t="shared" ref="AQ6:AQ8" si="8">AO6/$AO$4</f>
        <v>2.6948271098637178</v>
      </c>
      <c r="AR6" s="1"/>
      <c r="AS6" s="1"/>
      <c r="AT6" s="18" t="s">
        <v>17</v>
      </c>
      <c r="AU6" s="7">
        <f>C35</f>
        <v>5.3350518723994442</v>
      </c>
      <c r="AV6" s="20">
        <f>AU6-$U$4</f>
        <v>3.406051872399444</v>
      </c>
      <c r="AW6" s="22">
        <f t="shared" ref="AW6:AW8" si="9">AU6/$U$4</f>
        <v>2.7657085911868555</v>
      </c>
      <c r="AX6" s="1"/>
      <c r="AY6" s="1"/>
      <c r="AZ6" s="113" t="s">
        <v>83</v>
      </c>
      <c r="BA6" s="114" t="s">
        <v>55</v>
      </c>
      <c r="BB6" s="115" t="s">
        <v>59</v>
      </c>
      <c r="BC6" s="1"/>
      <c r="BD6" s="1"/>
      <c r="BE6" s="1"/>
      <c r="BF6" s="1"/>
      <c r="BG6" s="1"/>
      <c r="BH6" s="1"/>
      <c r="BI6" s="1"/>
      <c r="BJ6" s="1"/>
      <c r="BK6" s="1"/>
      <c r="BL6" s="1"/>
      <c r="BM6" s="1"/>
      <c r="BN6" s="1"/>
      <c r="BO6" s="1"/>
      <c r="BP6" s="1"/>
      <c r="BQ6" s="1"/>
      <c r="BR6" s="1"/>
      <c r="BS6" s="1"/>
    </row>
    <row r="7" spans="1:71" ht="15" customHeight="1" x14ac:dyDescent="0.25">
      <c r="A7" s="1"/>
      <c r="B7" s="16">
        <v>75</v>
      </c>
      <c r="C7" s="7">
        <v>3.7130000000000001</v>
      </c>
      <c r="D7" s="6">
        <v>4.3999999999999997E-2</v>
      </c>
      <c r="E7" s="21">
        <f t="shared" si="0"/>
        <v>1.1850255857796929E-2</v>
      </c>
      <c r="F7" s="8"/>
      <c r="G7" s="8"/>
      <c r="H7" s="8"/>
      <c r="I7" s="8"/>
      <c r="J7" s="8"/>
      <c r="K7" s="17">
        <v>75</v>
      </c>
      <c r="L7" s="7">
        <v>1.304</v>
      </c>
      <c r="M7" s="9">
        <v>0.20899999999999999</v>
      </c>
      <c r="N7" s="21">
        <f t="shared" si="1"/>
        <v>0.16027607361963189</v>
      </c>
      <c r="O7" s="1"/>
      <c r="P7" s="1"/>
      <c r="Q7" s="1"/>
      <c r="R7" s="1"/>
      <c r="S7" s="1"/>
      <c r="T7" s="18" t="s">
        <v>24</v>
      </c>
      <c r="U7" s="7">
        <f>L17*1.18</f>
        <v>17.757819999999999</v>
      </c>
      <c r="V7" s="20">
        <f>U7-$U$4</f>
        <v>15.828819999999999</v>
      </c>
      <c r="W7" s="22">
        <f t="shared" si="5"/>
        <v>9.2057128045619478</v>
      </c>
      <c r="X7" s="475"/>
      <c r="Y7" s="1"/>
      <c r="Z7" s="1"/>
      <c r="AA7" s="1"/>
      <c r="AB7" s="18" t="s">
        <v>24</v>
      </c>
      <c r="AC7" s="7">
        <f>L15*1.18</f>
        <v>20.33494</v>
      </c>
      <c r="AD7" s="20">
        <f t="shared" si="2"/>
        <v>16.22194</v>
      </c>
      <c r="AE7" s="22">
        <f t="shared" si="6"/>
        <v>4.9440651592511546</v>
      </c>
      <c r="AF7" s="1"/>
      <c r="AG7" s="1"/>
      <c r="AH7" s="18" t="s">
        <v>24</v>
      </c>
      <c r="AI7" s="7">
        <f>L16</f>
        <v>14.918999999999999</v>
      </c>
      <c r="AJ7" s="20">
        <f t="shared" si="3"/>
        <v>13.12</v>
      </c>
      <c r="AK7" s="22">
        <f t="shared" si="7"/>
        <v>8.2929405225125059</v>
      </c>
      <c r="AL7" s="1"/>
      <c r="AM7" s="1"/>
      <c r="AN7" s="18" t="s">
        <v>24</v>
      </c>
      <c r="AO7" s="7">
        <f>L18*1.18</f>
        <v>17.83334</v>
      </c>
      <c r="AP7" s="20">
        <f t="shared" si="4"/>
        <v>15.840339999999999</v>
      </c>
      <c r="AQ7" s="22">
        <f t="shared" si="8"/>
        <v>8.947987957852483</v>
      </c>
      <c r="AR7" s="1"/>
      <c r="AS7" s="1"/>
      <c r="AT7" s="18" t="s">
        <v>24</v>
      </c>
      <c r="AU7" s="7">
        <f>L19*1.18</f>
        <v>17.91948</v>
      </c>
      <c r="AV7" s="20">
        <f>AU7-$U$4</f>
        <v>15.99048</v>
      </c>
      <c r="AW7" s="22">
        <f t="shared" si="9"/>
        <v>9.2895178849144635</v>
      </c>
      <c r="AX7" s="1"/>
      <c r="AY7" s="1"/>
      <c r="AZ7" s="116" t="s">
        <v>53</v>
      </c>
      <c r="BA7" s="117" t="s">
        <v>55</v>
      </c>
      <c r="BB7" s="118" t="s">
        <v>82</v>
      </c>
      <c r="BC7" s="1"/>
      <c r="BD7" s="1"/>
      <c r="BE7" s="1"/>
      <c r="BF7" s="1"/>
      <c r="BG7" s="1"/>
      <c r="BH7" s="1"/>
      <c r="BI7" s="1"/>
      <c r="BJ7" s="1"/>
      <c r="BK7" s="1"/>
      <c r="BL7" s="1"/>
      <c r="BM7" s="1"/>
      <c r="BN7" s="1"/>
      <c r="BO7" s="1"/>
      <c r="BP7" s="1"/>
      <c r="BQ7" s="1"/>
      <c r="BR7" s="1"/>
      <c r="BS7" s="1"/>
    </row>
    <row r="8" spans="1:71" x14ac:dyDescent="0.25">
      <c r="A8" s="1"/>
      <c r="B8" s="16">
        <v>100</v>
      </c>
      <c r="C8" s="7">
        <v>3.6880000000000002</v>
      </c>
      <c r="D8" s="6">
        <v>5.2999999999999999E-2</v>
      </c>
      <c r="E8" s="21">
        <f t="shared" si="0"/>
        <v>1.4370932754880694E-2</v>
      </c>
      <c r="F8" s="8"/>
      <c r="G8" s="8"/>
      <c r="H8" s="8"/>
      <c r="I8" s="8"/>
      <c r="J8" s="8"/>
      <c r="K8" s="17">
        <v>100</v>
      </c>
      <c r="L8" s="7">
        <v>1.276</v>
      </c>
      <c r="M8" s="9">
        <v>9.1999999999999998E-2</v>
      </c>
      <c r="N8" s="21">
        <f t="shared" si="1"/>
        <v>7.2100313479623826E-2</v>
      </c>
      <c r="O8" s="1"/>
      <c r="P8" s="1"/>
      <c r="Q8" s="1"/>
      <c r="R8" s="1"/>
      <c r="S8" s="1"/>
      <c r="T8" s="18" t="s">
        <v>20</v>
      </c>
      <c r="U8" s="7">
        <f>L25</f>
        <v>16.220166106978276</v>
      </c>
      <c r="V8" s="20">
        <f>U8-$U$4</f>
        <v>14.291166106978276</v>
      </c>
      <c r="W8" s="22">
        <f t="shared" si="5"/>
        <v>8.4085879248202566</v>
      </c>
      <c r="X8" s="475"/>
      <c r="Y8" s="1"/>
      <c r="Z8" s="1"/>
      <c r="AA8" s="1"/>
      <c r="AB8" s="18" t="s">
        <v>20</v>
      </c>
      <c r="AC8" s="7">
        <f>L23</f>
        <v>24.541919999999998</v>
      </c>
      <c r="AD8" s="20">
        <f t="shared" si="2"/>
        <v>20.428919999999998</v>
      </c>
      <c r="AE8" s="22">
        <f t="shared" si="6"/>
        <v>5.9669146608315087</v>
      </c>
      <c r="AF8" s="1"/>
      <c r="AG8" s="1"/>
      <c r="AH8" s="18" t="s">
        <v>20</v>
      </c>
      <c r="AI8" s="7">
        <f>L24</f>
        <v>16.450876045113883</v>
      </c>
      <c r="AJ8" s="20">
        <f t="shared" si="3"/>
        <v>14.651876045113884</v>
      </c>
      <c r="AK8" s="22">
        <f t="shared" si="7"/>
        <v>9.1444558338598583</v>
      </c>
      <c r="AL8" s="1"/>
      <c r="AM8" s="1"/>
      <c r="AN8" s="18" t="s">
        <v>20</v>
      </c>
      <c r="AO8" s="7">
        <f>L26</f>
        <v>16.157612902614868</v>
      </c>
      <c r="AP8" s="20">
        <f t="shared" si="4"/>
        <v>14.164612902614868</v>
      </c>
      <c r="AQ8" s="22">
        <f t="shared" si="8"/>
        <v>8.107181586861449</v>
      </c>
      <c r="AR8" s="1"/>
      <c r="AS8" s="1"/>
      <c r="AT8" s="18" t="s">
        <v>20</v>
      </c>
      <c r="AU8" s="7">
        <f>L27</f>
        <v>16.142344166988089</v>
      </c>
      <c r="AV8" s="20">
        <f>AU8-$U$4</f>
        <v>14.213344166988088</v>
      </c>
      <c r="AW8" s="22">
        <f t="shared" si="9"/>
        <v>8.3682447729331724</v>
      </c>
      <c r="AX8" s="1"/>
      <c r="AY8" s="1"/>
      <c r="AZ8" s="116" t="s">
        <v>75</v>
      </c>
      <c r="BA8" s="117" t="s">
        <v>55</v>
      </c>
      <c r="BB8" s="118" t="s">
        <v>82</v>
      </c>
      <c r="BC8" s="1"/>
      <c r="BD8" s="1"/>
      <c r="BE8" s="1"/>
      <c r="BF8" s="1"/>
      <c r="BG8" s="1"/>
      <c r="BH8" s="1"/>
      <c r="BI8" s="1"/>
      <c r="BJ8" s="1"/>
      <c r="BK8" s="1"/>
      <c r="BL8" s="1"/>
      <c r="BM8" s="1"/>
      <c r="BN8" s="1"/>
      <c r="BO8" s="1"/>
      <c r="BP8" s="1"/>
      <c r="BQ8" s="1"/>
      <c r="BR8" s="1"/>
      <c r="BS8" s="1"/>
    </row>
    <row r="9" spans="1:71" x14ac:dyDescent="0.25">
      <c r="A9" s="1"/>
      <c r="B9" s="51"/>
      <c r="C9" s="12"/>
      <c r="D9" s="52"/>
      <c r="E9" s="53"/>
      <c r="F9" s="8"/>
      <c r="G9" s="8"/>
      <c r="H9" s="8"/>
      <c r="I9" s="8"/>
      <c r="J9" s="8"/>
      <c r="K9" s="54"/>
      <c r="L9" s="12"/>
      <c r="M9" s="55"/>
      <c r="N9" s="53"/>
      <c r="O9" s="1"/>
      <c r="P9" s="1"/>
      <c r="Q9" s="1"/>
      <c r="R9" s="1"/>
      <c r="S9" s="1"/>
      <c r="T9" s="56"/>
      <c r="U9" s="12"/>
      <c r="V9" s="57"/>
      <c r="W9" s="58"/>
      <c r="X9" s="1"/>
      <c r="Y9" s="1"/>
      <c r="Z9" s="1"/>
      <c r="AA9" s="1"/>
      <c r="AB9" s="56"/>
      <c r="AC9" s="12"/>
      <c r="AD9" s="57"/>
      <c r="AE9" s="58"/>
      <c r="AF9" s="1"/>
      <c r="AG9" s="1"/>
      <c r="AH9" s="56"/>
      <c r="AI9" s="12"/>
      <c r="AJ9" s="57"/>
      <c r="AK9" s="58"/>
      <c r="AL9" s="1"/>
      <c r="AM9" s="1"/>
      <c r="AN9" s="56"/>
      <c r="AO9" s="12"/>
      <c r="AP9" s="57"/>
      <c r="AQ9" s="58"/>
      <c r="AR9" s="1"/>
      <c r="AS9" s="1"/>
      <c r="AT9" s="56"/>
      <c r="AU9" s="12"/>
      <c r="AV9" s="57"/>
      <c r="AW9" s="58"/>
      <c r="AX9" s="1"/>
      <c r="AY9" s="1"/>
      <c r="AZ9" s="119" t="s">
        <v>84</v>
      </c>
      <c r="BA9" s="120" t="s">
        <v>55</v>
      </c>
      <c r="BB9" s="121" t="s">
        <v>82</v>
      </c>
      <c r="BC9" s="1"/>
      <c r="BD9" s="1"/>
      <c r="BE9" s="1"/>
      <c r="BF9" s="1"/>
      <c r="BG9" s="1"/>
      <c r="BH9" s="1"/>
      <c r="BI9" s="1"/>
      <c r="BJ9" s="1"/>
      <c r="BK9" s="1"/>
      <c r="BL9" s="1"/>
      <c r="BM9" s="1"/>
      <c r="BN9" s="1"/>
      <c r="BO9" s="1"/>
      <c r="BP9" s="1"/>
      <c r="BQ9" s="1"/>
      <c r="BR9" s="1"/>
      <c r="BS9" s="1"/>
    </row>
    <row r="10" spans="1:71" x14ac:dyDescent="0.25">
      <c r="A10" s="1"/>
      <c r="B10" s="51"/>
      <c r="C10" s="12"/>
      <c r="D10" s="52"/>
      <c r="E10" s="53"/>
      <c r="F10" s="8"/>
      <c r="G10" s="8"/>
      <c r="H10" s="8"/>
      <c r="I10" s="8"/>
      <c r="J10" s="8"/>
      <c r="K10" s="54"/>
      <c r="L10" s="12"/>
      <c r="M10" s="55"/>
      <c r="N10" s="53"/>
      <c r="O10" s="1"/>
      <c r="P10" s="1"/>
      <c r="Q10" s="1"/>
      <c r="R10" s="1"/>
      <c r="S10" s="1"/>
      <c r="T10" s="56"/>
      <c r="U10" s="12"/>
      <c r="V10" s="57"/>
      <c r="W10" s="58"/>
      <c r="X10" s="1"/>
      <c r="Y10" s="1"/>
      <c r="Z10" s="1"/>
      <c r="AA10" s="1"/>
      <c r="AB10" s="56"/>
      <c r="AC10" s="12"/>
      <c r="AD10" s="57"/>
      <c r="AE10" s="58"/>
      <c r="AF10" s="1"/>
      <c r="AG10" s="1"/>
      <c r="AH10" s="56"/>
      <c r="AI10" s="12"/>
      <c r="AJ10" s="57"/>
      <c r="AK10" s="58"/>
      <c r="AL10" s="1"/>
      <c r="AM10" s="1"/>
      <c r="AN10" s="56"/>
      <c r="AO10" s="12"/>
      <c r="AP10" s="57"/>
      <c r="AQ10" s="58"/>
      <c r="AR10" s="1"/>
      <c r="AS10" s="1"/>
      <c r="AT10" s="56"/>
      <c r="AU10" s="12"/>
      <c r="AV10" s="57"/>
      <c r="AW10" s="58"/>
      <c r="AX10" s="1"/>
      <c r="AY10" s="1"/>
      <c r="AZ10" s="119" t="s">
        <v>85</v>
      </c>
      <c r="BA10" s="120" t="s">
        <v>55</v>
      </c>
      <c r="BB10" s="121" t="s">
        <v>82</v>
      </c>
      <c r="BC10" s="1"/>
      <c r="BD10" s="1"/>
      <c r="BE10" s="1"/>
      <c r="BF10" s="1"/>
      <c r="BG10" s="1"/>
      <c r="BH10" s="1"/>
      <c r="BI10" s="1"/>
      <c r="BJ10" s="1"/>
      <c r="BK10" s="1"/>
      <c r="BL10" s="1"/>
      <c r="BM10" s="1"/>
      <c r="BN10" s="1"/>
      <c r="BO10" s="1"/>
      <c r="BP10" s="1"/>
      <c r="BQ10" s="1"/>
      <c r="BR10" s="1"/>
      <c r="BS10" s="1"/>
    </row>
    <row r="11" spans="1:71" x14ac:dyDescent="0.25">
      <c r="A11" s="1"/>
      <c r="B11" s="8"/>
      <c r="C11" s="8"/>
      <c r="D11" s="8"/>
      <c r="E11" s="8"/>
      <c r="F11" s="8"/>
      <c r="G11" s="8"/>
      <c r="H11" s="8"/>
      <c r="I11" s="8"/>
      <c r="J11" s="8"/>
      <c r="K11" s="8"/>
      <c r="L11" s="8"/>
      <c r="M11" s="8"/>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22" t="s">
        <v>125</v>
      </c>
      <c r="BA11" s="123" t="s">
        <v>55</v>
      </c>
      <c r="BB11" s="124" t="s">
        <v>82</v>
      </c>
      <c r="BC11" s="1"/>
      <c r="BD11" s="1"/>
      <c r="BE11" s="1"/>
      <c r="BF11" s="1"/>
      <c r="BG11" s="1"/>
      <c r="BH11" s="1"/>
      <c r="BI11" s="1"/>
      <c r="BJ11" s="1"/>
      <c r="BK11" s="1"/>
      <c r="BL11" s="1"/>
      <c r="BM11" s="1"/>
      <c r="BN11" s="1"/>
      <c r="BO11" s="1"/>
      <c r="BP11" s="1"/>
      <c r="BQ11" s="1"/>
      <c r="BR11" s="1"/>
      <c r="BS11" s="1"/>
    </row>
    <row r="12" spans="1:71" x14ac:dyDescent="0.25">
      <c r="A12" s="1"/>
      <c r="B12" s="8"/>
      <c r="C12" s="8"/>
      <c r="D12" s="8"/>
      <c r="E12" s="8"/>
      <c r="F12" s="8"/>
      <c r="G12" s="8"/>
      <c r="H12" s="8"/>
      <c r="I12" s="8"/>
      <c r="J12" s="8"/>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x14ac:dyDescent="0.25">
      <c r="A13" s="1"/>
      <c r="B13" s="8" t="s">
        <v>5</v>
      </c>
      <c r="C13" s="8"/>
      <c r="D13" s="8"/>
      <c r="E13" s="8"/>
      <c r="F13" s="8"/>
      <c r="G13" s="8"/>
      <c r="H13" s="8"/>
      <c r="I13" s="8"/>
      <c r="J13" s="8"/>
      <c r="K13" s="8" t="s">
        <v>208</v>
      </c>
      <c r="L13" s="8"/>
      <c r="M13" s="8"/>
      <c r="N13" s="8"/>
      <c r="O13" s="1"/>
      <c r="P13" s="1"/>
      <c r="Q13" s="1"/>
      <c r="R13" s="1"/>
      <c r="S13" s="1"/>
      <c r="T13" s="19" t="s">
        <v>29</v>
      </c>
      <c r="U13" s="19" t="s">
        <v>8</v>
      </c>
      <c r="V13" s="19" t="s">
        <v>12</v>
      </c>
      <c r="W13" s="19" t="s">
        <v>13</v>
      </c>
      <c r="X13" s="1"/>
      <c r="Y13" s="1"/>
      <c r="Z13" s="1"/>
      <c r="AA13" s="1"/>
      <c r="AB13" s="19" t="s">
        <v>31</v>
      </c>
      <c r="AC13" s="19" t="s">
        <v>8</v>
      </c>
      <c r="AD13" s="19" t="s">
        <v>12</v>
      </c>
      <c r="AE13" s="19" t="s">
        <v>13</v>
      </c>
      <c r="AF13" s="1"/>
      <c r="AG13" s="1"/>
      <c r="AH13" s="19" t="s">
        <v>43</v>
      </c>
      <c r="AI13" s="19" t="s">
        <v>8</v>
      </c>
      <c r="AJ13" s="19" t="s">
        <v>12</v>
      </c>
      <c r="AK13" s="19" t="s">
        <v>13</v>
      </c>
      <c r="AL13" s="1"/>
      <c r="AM13" s="1"/>
      <c r="AN13" s="19" t="s">
        <v>45</v>
      </c>
      <c r="AO13" s="19" t="s">
        <v>8</v>
      </c>
      <c r="AP13" s="19" t="s">
        <v>12</v>
      </c>
      <c r="AQ13" s="19" t="s">
        <v>13</v>
      </c>
      <c r="AR13" s="1"/>
      <c r="AS13" s="1"/>
      <c r="AT13" s="19" t="s">
        <v>47</v>
      </c>
      <c r="AU13" s="19" t="s">
        <v>8</v>
      </c>
      <c r="AV13" s="19" t="s">
        <v>12</v>
      </c>
      <c r="AW13" s="19" t="s">
        <v>13</v>
      </c>
      <c r="AX13" s="1"/>
      <c r="AY13" s="1"/>
      <c r="AZ13" s="1"/>
      <c r="BA13" s="125" t="s">
        <v>86</v>
      </c>
      <c r="BB13" s="126">
        <f>IF(AND(BB4=100,BB5=0,BB6="No",BB7="No",BB8="No"),AU4,IF(AND(BB4=100,BB5=3.68,BB6="No",BB7="No",BB8="No"),AU5,IF(AND(BB4=100,BB5=7.36,BB6="No",BB7="No",BB8="No"),AU6,IF(AND(BB4=100,BB5=0,BB6="Yes",BB7="No",BB8="No"),AU7,IF(AND(BB4=100,BB5=7.36,BB6="Yes",BB7="No",BB8="No"),AU8,IF(AND(BB4=100,BB5=0,BB6="No",BB7="Yes",BB8="No"),AU15,IF(AND(BB4=100,BB5=3.68,BB6="No",BB7="Yes",BB8="No"),AU16,IF(AND(BB4=100,BB5=7.36,BB6="No",BB7="Yes",BB8="No"),AU17,IF(AND(BB4=100,BB5=0,BB6="Yes",BB7="Yes",BB8="No"),AU18,IF(AND(BB4=100,BB5=7.36,BB6="Yes",BB7="Yes",BB8="No"),AU19,IF(AND(BB4=100,BB5=0,BB6="No",BB7="Yes",BB8="Yes"),AU23,IF(AND(BB4=100,BB5=3.68,BB6="No",BB7="Yes",BB8="Yes"),AU24,IF(AND(BB4=100,BB5=7.36,BB6="No",BB7="Yes",BB8="Yes"),AU25,IF(AND(BB4=100,BB5=0,BB6="Yes",BB7="Yes",BB8="Yes"),AU26,IF(AND(BB4=100,BB5=7.36,BB6="Yes",BB7="Yes",BB8="Yes"),AU27,IF(AND(BB4=1,BB5=0,BB6="No",BB7="No",BB8="No"),AC4,IF(AND(BB4=1,BB5=3.68,BB6="No",BB7="No",BB8="No"),AC5,IF(AND(BB4=1,BB5=7.36,BB6="No",BB7="No",BB8="No"),AC6,IF(AND(BB4=1,BB5=0,BB6="Yes",BB7="No",BB8="No"),AC7,IF(AND(BB4=1,BB5=7.36,BB6="Yes",BB7="No",BB8="No"),AC8,IF(AND(BB4=1,BB5=0,BB6="No",BB7="Yes",BB8="No"),AC15,IF(AND(BB4=1,BB5=3.68,BB6="No",BB7="Yes",BB8="No"),AC16,IF(AND(BB4=1,BB5=7.36,BB6="No",BB7="Yes",BB8="No"),AC17,IF(AND(BB4=1,BB5=0,BB6="Yes",BB7="Yes",BB8="No"),AC18,IF(AND(BB4=1,BB5=7.36,BB6="Yes",BB7="Yes",BB8="No"),AC19,IF(AND(BB4=1,BB5=0,BB6="No",BB7="Yes",BB8="Yes"),AC23,IF(AND(BB4=1,BB5=3.68,BB6="No",BB7="Yes",BB8="Yes"),AC24,IF(AND(BB4=1,BB5=7.36,BB6="No",BB7="Yes",BB8="Yes"),AC25,IF(AND(BB4=1,BB5=0,BB6="Yes",BB7="Yes",BB8="Yes"),AC26,IF(AND(BB4=1,BB5=7.36,BB6="Yes",BB7="Yes",BB8="Yes"),AC27,IF(AND(BB4=25,BB5=0,BB6="No",BB7="No",BB8="No"),AI4,IF(AND(BB4=25,BB5=3.68,BB6="No",BB7="No",BB8="No"),AI5,IF(AND(BB4=25,BB5=7.36,BB6="No",BB7="No",BB8="No"),AI6,IF(AND(BB4=25,BB5=0,BB6="Yes",BB7="No",BB8="No"),AI7,IF(AND(BB4=25,BB5=7.36,BB6="Yes",BB7="No",BB8="No"),AI8,IF(AND(BB4=25,BB5=0,BB6="No",BB7="Yes",BB8="No"),AI15,IF(AND(BB4=25,BB5=3.68,BB6="No",BB7="Yes",BB8="No"),AI16,IF(AND(BB4=25,BB5=7.36,BB6="No",BB7="Yes",BB8="No"),AI17,IF(AND(BB4=25,BB5=0,BB6="Yes",BB7="Yes",BB8="No"),AI18,IF(AND(BB4=25,BB5=7.36,BB6="Yes",BB7="Yes",BB8="No"),AI19,IF(AND(BB4=25,BB5=0,BB6="No",BB7="Yes",BB8="Yes"),AI23,IF(AND(BB4=25,BB5=3.68,BB6="No",BB7="Yes",BB8="Yes"),AI24,IF(AND(BB4=25,BB5=7.36,BB6="No",BB7="Yes",BB8="Yes"),AI25,IF(AND(BB4=25,BB5=0,BB6="Yes",BB7="Yes",BB8="Yes"),AI26,IF(AND(BB4=25,BB5=7.36,BB6="Yes",BB7="Yes",BB8="Yes"),AI27,IF(AND(BB4=50,BB5=0,BB6="No",BB7="No",BB8="No"),U4,IF(AND(BB4=50,BB5=3.68,BB6="No",BB7="No",BB8="No"),U5,IF(AND(BB4=50,BB5=7.36,BB6="No",BB7="No",BB8="No"),U6,IF(AND(BB4=50,BB5=0,BB6="Yes",BB7="No",BB8="No"),U7,IF(AND(BB4=50,BB5=7.36,BB6="Yes",BB7="No",BB8="No"),U8,IF(AND(BB4=50,BB5=0,BB6="No",BB7="Yes",BB8="No"),U15,IF(AND(BB4=50,BB5=3.68,BB6="No",BB7="Yes",BB8="No"),U16,IF(AND(BB4=50,BB5=7.36,BB6="No",BB7="Yes",BB8="No"),U17,IF(AND(BB4=50,BB5=0,BB6="Yes",BB7="Yes",BB8="No"),U18,IF(AND(BB4=50,BB5=7.36,BB6="Yes",BB7="Yes",BB8="No"),U19,IF(AND(BB4=50,BB5=0,BB6="No",BB7="Yes",BB8="Yes"),U23,IF(AND(BB4=50,BB5=3.68,BB6="No",BB7="Yes",BB8="Yes"),U24,IF(AND(BB4=50,BB5=7.36,BB6="No",BB7="Yes",BB8="Yes"),U25,IF(AND(BB4=50,BB5=0,BB6="Yes",BB7="Yes",BB8="Yes"),U26,IF(AND(BB4=50,BB5=7.36,BB6="Yes",BB7="Yes",BB8="Yes"),U27,"N/A"))))))))))))))))))))))))))))))))))))))))))))))))))))))))))))</f>
        <v>14.918999999999999</v>
      </c>
      <c r="BC13" s="1"/>
      <c r="BD13" s="1"/>
      <c r="BE13" s="1"/>
      <c r="BF13" s="1"/>
      <c r="BG13" s="1"/>
      <c r="BH13" s="1"/>
      <c r="BI13" s="1"/>
      <c r="BJ13" s="1"/>
      <c r="BK13" s="1"/>
      <c r="BL13" s="1"/>
      <c r="BM13" s="1"/>
      <c r="BN13" s="1"/>
      <c r="BO13" s="1"/>
      <c r="BP13" s="1"/>
      <c r="BQ13" s="1"/>
      <c r="BR13" s="1"/>
      <c r="BS13" s="1"/>
    </row>
    <row r="14" spans="1:71" x14ac:dyDescent="0.25">
      <c r="A14" s="1"/>
      <c r="B14" s="11" t="s">
        <v>0</v>
      </c>
      <c r="C14" s="11" t="s">
        <v>1</v>
      </c>
      <c r="D14" s="11" t="s">
        <v>2</v>
      </c>
      <c r="E14" s="11" t="s">
        <v>3</v>
      </c>
      <c r="F14" s="8"/>
      <c r="G14" s="8"/>
      <c r="H14" s="8"/>
      <c r="I14" s="8"/>
      <c r="J14" s="8"/>
      <c r="K14" s="15" t="s">
        <v>0</v>
      </c>
      <c r="L14" s="15" t="s">
        <v>1</v>
      </c>
      <c r="M14" s="15" t="s">
        <v>2</v>
      </c>
      <c r="N14" s="15" t="s">
        <v>3</v>
      </c>
      <c r="O14" s="1"/>
      <c r="P14" s="1"/>
      <c r="Q14" s="1"/>
      <c r="R14" s="1"/>
      <c r="S14" s="1"/>
      <c r="T14" s="18" t="s">
        <v>21</v>
      </c>
      <c r="U14" s="7">
        <v>1.93</v>
      </c>
      <c r="V14" s="20">
        <v>0</v>
      </c>
      <c r="W14" s="22">
        <v>0</v>
      </c>
      <c r="X14" s="1"/>
      <c r="Y14" s="1"/>
      <c r="Z14" s="1"/>
      <c r="AA14" s="1"/>
      <c r="AB14" s="18" t="s">
        <v>21</v>
      </c>
      <c r="AC14" s="7">
        <v>4.1100000000000003</v>
      </c>
      <c r="AD14" s="20">
        <v>0</v>
      </c>
      <c r="AE14" s="22">
        <v>0</v>
      </c>
      <c r="AF14" s="1"/>
      <c r="AG14" s="1"/>
      <c r="AH14" s="18" t="s">
        <v>21</v>
      </c>
      <c r="AI14" s="7">
        <v>1.8</v>
      </c>
      <c r="AJ14" s="20">
        <v>0</v>
      </c>
      <c r="AK14" s="22">
        <v>0</v>
      </c>
      <c r="AL14" s="1"/>
      <c r="AM14" s="1"/>
      <c r="AN14" s="18" t="s">
        <v>21</v>
      </c>
      <c r="AO14" s="7">
        <v>1.99</v>
      </c>
      <c r="AP14" s="20">
        <v>0</v>
      </c>
      <c r="AQ14" s="22">
        <v>0</v>
      </c>
      <c r="AR14" s="1"/>
      <c r="AS14" s="1"/>
      <c r="AT14" s="18" t="s">
        <v>21</v>
      </c>
      <c r="AU14" s="7">
        <v>2.0699999999999998</v>
      </c>
      <c r="AV14" s="20">
        <v>0</v>
      </c>
      <c r="AW14" s="22">
        <v>0</v>
      </c>
      <c r="AX14" s="1"/>
      <c r="AY14" s="1"/>
      <c r="AZ14" s="1"/>
      <c r="BA14" s="1"/>
      <c r="BB14" s="1"/>
      <c r="BC14" s="1"/>
      <c r="BD14" s="1"/>
      <c r="BE14" s="1"/>
      <c r="BF14" s="1"/>
      <c r="BG14" s="1"/>
      <c r="BH14" s="1"/>
      <c r="BI14" s="1"/>
      <c r="BJ14" s="1"/>
      <c r="BK14" s="1"/>
      <c r="BL14" s="1"/>
      <c r="BM14" s="1"/>
      <c r="BN14" s="1"/>
      <c r="BO14" s="1"/>
      <c r="BP14" s="1"/>
      <c r="BQ14" s="1"/>
      <c r="BR14" s="1"/>
      <c r="BS14" s="1"/>
    </row>
    <row r="15" spans="1:71" x14ac:dyDescent="0.25">
      <c r="A15" s="1"/>
      <c r="B15" s="16">
        <v>1</v>
      </c>
      <c r="C15" s="7">
        <v>4.1130000000000004</v>
      </c>
      <c r="D15" s="6">
        <v>0.76900000000000002</v>
      </c>
      <c r="E15" s="21">
        <f>D15/C15</f>
        <v>0.18696814976902504</v>
      </c>
      <c r="F15" s="8"/>
      <c r="G15" s="8"/>
      <c r="H15" s="8"/>
      <c r="I15" s="8"/>
      <c r="J15" s="8"/>
      <c r="K15" s="17">
        <v>1</v>
      </c>
      <c r="L15" s="7">
        <f>C15+13.12</f>
        <v>17.233000000000001</v>
      </c>
      <c r="M15" s="9">
        <v>1.98</v>
      </c>
      <c r="N15" s="21">
        <f>M15/L15</f>
        <v>0.11489583937793767</v>
      </c>
      <c r="O15" s="1"/>
      <c r="P15" s="7">
        <v>5.7279999999999998</v>
      </c>
      <c r="Q15" s="1"/>
      <c r="R15" s="1"/>
      <c r="S15" s="1"/>
      <c r="T15" s="18" t="s">
        <v>33</v>
      </c>
      <c r="U15" s="7">
        <v>1.17669</v>
      </c>
      <c r="V15" s="20">
        <v>-0.75330999999999992</v>
      </c>
      <c r="W15" s="22">
        <v>0.60968393782383423</v>
      </c>
      <c r="X15" s="1"/>
      <c r="Y15" s="1"/>
      <c r="Z15" s="1"/>
      <c r="AA15" s="1"/>
      <c r="AB15" s="18" t="s">
        <v>39</v>
      </c>
      <c r="AC15" s="7">
        <v>2.5089300000000003</v>
      </c>
      <c r="AD15" s="20">
        <v>-1.60107</v>
      </c>
      <c r="AE15" s="22">
        <v>0.61044525547445261</v>
      </c>
      <c r="AF15" s="1"/>
      <c r="AG15" s="1"/>
      <c r="AH15" s="18" t="s">
        <v>39</v>
      </c>
      <c r="AI15" s="7">
        <v>1.0973899999999999</v>
      </c>
      <c r="AJ15" s="20">
        <v>-0.70261000000000018</v>
      </c>
      <c r="AK15" s="22">
        <v>0.60966111111111099</v>
      </c>
      <c r="AL15" s="1"/>
      <c r="AM15" s="1"/>
      <c r="AN15" s="18" t="s">
        <v>39</v>
      </c>
      <c r="AO15" s="7">
        <v>1.21573</v>
      </c>
      <c r="AP15" s="20">
        <v>-0.77427000000000001</v>
      </c>
      <c r="AQ15" s="22">
        <v>0.61091959798994977</v>
      </c>
      <c r="AR15" s="1"/>
      <c r="AS15" s="1"/>
      <c r="AT15" s="18" t="s">
        <v>39</v>
      </c>
      <c r="AU15" s="7">
        <v>1.2602599999999999</v>
      </c>
      <c r="AV15" s="20">
        <v>-0.8097399999999999</v>
      </c>
      <c r="AW15" s="22">
        <v>0.60882125603864734</v>
      </c>
      <c r="AX15" s="1"/>
      <c r="AY15" s="1"/>
      <c r="BA15" s="125" t="s">
        <v>87</v>
      </c>
      <c r="BB15" s="127">
        <f>BB13+ IF(AND(BB10="Yes",BB6="Yes"),(3.68*0.8),0)+ IF(BB9="Yes",(3.68*0.5),0)</f>
        <v>14.918999999999999</v>
      </c>
      <c r="BC15" s="1"/>
      <c r="BD15" s="1"/>
      <c r="BE15" s="1"/>
      <c r="BF15" s="1"/>
      <c r="BG15" s="1"/>
      <c r="BH15" s="1"/>
      <c r="BI15" s="1"/>
      <c r="BJ15" s="1"/>
      <c r="BK15" s="1"/>
      <c r="BL15" s="1"/>
      <c r="BM15" s="1"/>
      <c r="BN15" s="1"/>
      <c r="BO15" s="1"/>
      <c r="BP15" s="1"/>
      <c r="BQ15" s="1"/>
      <c r="BR15" s="1"/>
      <c r="BS15" s="1"/>
    </row>
    <row r="16" spans="1:71" x14ac:dyDescent="0.25">
      <c r="A16" s="1"/>
      <c r="B16" s="16">
        <v>25</v>
      </c>
      <c r="C16" s="7">
        <v>1.7989999999999999</v>
      </c>
      <c r="D16" s="6">
        <v>0.34300000000000003</v>
      </c>
      <c r="E16" s="21">
        <f t="shared" ref="E16:E19" si="10">D16/C16</f>
        <v>0.19066147859922181</v>
      </c>
      <c r="F16" s="8"/>
      <c r="G16" s="8"/>
      <c r="H16" s="8"/>
      <c r="I16" s="8"/>
      <c r="J16" s="8"/>
      <c r="K16" s="17">
        <v>25</v>
      </c>
      <c r="L16" s="7">
        <f t="shared" ref="L16:L19" si="11">C16+13.12</f>
        <v>14.918999999999999</v>
      </c>
      <c r="M16" s="9">
        <v>0.67300000000000004</v>
      </c>
      <c r="N16" s="21">
        <f t="shared" ref="N16:N19" si="12">M16/L16</f>
        <v>4.5110262081908985E-2</v>
      </c>
      <c r="O16" s="1"/>
      <c r="P16" s="7">
        <v>2.661</v>
      </c>
      <c r="Q16" s="1">
        <f>P15/P16</f>
        <v>2.152574220217963</v>
      </c>
      <c r="R16" s="1"/>
      <c r="S16" s="1"/>
      <c r="T16" s="18" t="s">
        <v>34</v>
      </c>
      <c r="U16" s="28">
        <v>2.3192200000000001</v>
      </c>
      <c r="V16" s="20">
        <v>0.38922000000000012</v>
      </c>
      <c r="W16" s="22">
        <v>1.2016683937823835</v>
      </c>
      <c r="X16" s="1"/>
      <c r="Y16" s="1"/>
      <c r="Z16" s="1"/>
      <c r="AA16" s="1"/>
      <c r="AB16" s="18" t="s">
        <v>34</v>
      </c>
      <c r="AC16" s="7">
        <v>4.3980999999999995</v>
      </c>
      <c r="AD16" s="20">
        <v>0.28809999999999913</v>
      </c>
      <c r="AE16" s="22">
        <v>1.070097323600973</v>
      </c>
      <c r="AF16" s="1"/>
      <c r="AG16" s="1"/>
      <c r="AH16" s="18" t="s">
        <v>34</v>
      </c>
      <c r="AI16" s="7">
        <v>2.40523</v>
      </c>
      <c r="AJ16" s="20">
        <v>0.60522999999999993</v>
      </c>
      <c r="AK16" s="22">
        <v>1.3362388888888888</v>
      </c>
      <c r="AL16" s="1"/>
      <c r="AM16" s="1"/>
      <c r="AN16" s="18" t="s">
        <v>34</v>
      </c>
      <c r="AO16" s="7">
        <v>2.2917700000000001</v>
      </c>
      <c r="AP16" s="20">
        <v>0.30177000000000009</v>
      </c>
      <c r="AQ16" s="22">
        <v>1.151643216080402</v>
      </c>
      <c r="AR16" s="1"/>
      <c r="AS16" s="1"/>
      <c r="AT16" s="18" t="s">
        <v>34</v>
      </c>
      <c r="AU16" s="7">
        <v>2.2765200000000001</v>
      </c>
      <c r="AV16" s="20">
        <v>0.20652000000000026</v>
      </c>
      <c r="AW16" s="22">
        <v>1.0997681159420292</v>
      </c>
      <c r="AX16" s="1"/>
      <c r="AY16" s="1"/>
      <c r="AZ16" s="1"/>
      <c r="BA16" s="1"/>
      <c r="BB16" s="1"/>
      <c r="BC16" s="1"/>
      <c r="BD16" s="1"/>
      <c r="BE16" s="1"/>
      <c r="BF16" s="1"/>
      <c r="BG16" s="1"/>
      <c r="BH16" s="1"/>
      <c r="BI16" s="1"/>
      <c r="BJ16" s="1"/>
      <c r="BK16" s="1"/>
      <c r="BL16" s="1"/>
      <c r="BM16" s="1"/>
      <c r="BN16" s="1"/>
      <c r="BO16" s="1"/>
      <c r="BP16" s="1"/>
      <c r="BQ16" s="1"/>
      <c r="BR16" s="1"/>
      <c r="BS16" s="1"/>
    </row>
    <row r="17" spans="1:71" x14ac:dyDescent="0.25">
      <c r="A17" s="1"/>
      <c r="B17" s="16">
        <v>50</v>
      </c>
      <c r="C17" s="7">
        <v>1.929</v>
      </c>
      <c r="D17" s="6">
        <v>0.35799999999999998</v>
      </c>
      <c r="E17" s="21">
        <f t="shared" si="10"/>
        <v>0.18558838776568168</v>
      </c>
      <c r="F17" s="8"/>
      <c r="G17" s="8"/>
      <c r="H17" s="8"/>
      <c r="I17" s="8"/>
      <c r="J17" s="8"/>
      <c r="K17" s="17">
        <v>50</v>
      </c>
      <c r="L17" s="7">
        <f t="shared" si="11"/>
        <v>15.048999999999999</v>
      </c>
      <c r="M17" s="9">
        <v>0.38700000000000001</v>
      </c>
      <c r="N17" s="21">
        <f t="shared" si="12"/>
        <v>2.5715994418233773E-2</v>
      </c>
      <c r="O17" s="1"/>
      <c r="P17" s="7">
        <v>2.2069999999999999</v>
      </c>
      <c r="Q17" s="1">
        <f t="shared" ref="Q17:Q19" si="13">P16/P17</f>
        <v>1.2057091073855914</v>
      </c>
      <c r="R17" s="1"/>
      <c r="S17" s="1"/>
      <c r="T17" s="18" t="s">
        <v>35</v>
      </c>
      <c r="U17" s="28">
        <v>3.3154230984743402</v>
      </c>
      <c r="V17" s="20">
        <v>1.3854230984743403</v>
      </c>
      <c r="W17" s="22">
        <v>1.7178358023183111</v>
      </c>
      <c r="X17" s="1"/>
      <c r="Y17" s="1"/>
      <c r="Z17" s="1"/>
      <c r="AA17" s="1"/>
      <c r="AB17" s="18" t="s">
        <v>35</v>
      </c>
      <c r="AC17" s="7">
        <v>6.2872699999999986</v>
      </c>
      <c r="AD17" s="20">
        <v>2.1772699999999983</v>
      </c>
      <c r="AE17" s="22">
        <v>1.5297493917274934</v>
      </c>
      <c r="AF17" s="1"/>
      <c r="AG17" s="1"/>
      <c r="AH17" s="18" t="s">
        <v>35</v>
      </c>
      <c r="AI17" s="7">
        <v>3.4383780319001382</v>
      </c>
      <c r="AJ17" s="20">
        <v>1.6383780319001382</v>
      </c>
      <c r="AK17" s="22">
        <v>1.9102100177222989</v>
      </c>
      <c r="AL17" s="1"/>
      <c r="AM17" s="1"/>
      <c r="AN17" s="18" t="s">
        <v>35</v>
      </c>
      <c r="AO17" s="7">
        <v>3.2761821622746181</v>
      </c>
      <c r="AP17" s="20">
        <v>1.2861821622746181</v>
      </c>
      <c r="AQ17" s="22">
        <v>1.6463226946103608</v>
      </c>
      <c r="AR17" s="1"/>
      <c r="AS17" s="1"/>
      <c r="AT17" s="18" t="s">
        <v>35</v>
      </c>
      <c r="AU17" s="7">
        <v>3.2543816421636609</v>
      </c>
      <c r="AV17" s="20">
        <v>1.184381642163661</v>
      </c>
      <c r="AW17" s="22">
        <v>1.5721650445235078</v>
      </c>
      <c r="AX17" s="1"/>
      <c r="AY17" s="1"/>
      <c r="AZ17" s="1"/>
      <c r="BA17" s="125" t="s">
        <v>126</v>
      </c>
      <c r="BB17" s="128">
        <f>IF(AND(BB11="Yes",BB5=7.36,BB7="No",BB6= "Yes"),(BB15-3.5),BB15)</f>
        <v>14.918999999999999</v>
      </c>
      <c r="BC17" s="1"/>
      <c r="BD17" s="1"/>
      <c r="BE17" s="1"/>
      <c r="BF17" s="1"/>
      <c r="BG17" s="1"/>
      <c r="BH17" s="1"/>
      <c r="BI17" s="1"/>
      <c r="BJ17" s="1"/>
      <c r="BK17" s="1"/>
      <c r="BL17" s="1"/>
      <c r="BM17" s="1"/>
      <c r="BN17" s="1"/>
      <c r="BO17" s="1"/>
      <c r="BP17" s="1"/>
      <c r="BQ17" s="1"/>
      <c r="BR17" s="1"/>
      <c r="BS17" s="1"/>
    </row>
    <row r="18" spans="1:71" x14ac:dyDescent="0.25">
      <c r="A18" s="1"/>
      <c r="B18" s="16">
        <v>75</v>
      </c>
      <c r="C18" s="7">
        <v>1.9930000000000001</v>
      </c>
      <c r="D18" s="6">
        <v>0.311</v>
      </c>
      <c r="E18" s="21">
        <f t="shared" si="10"/>
        <v>0.15604616156547918</v>
      </c>
      <c r="F18" s="8"/>
      <c r="G18" s="8"/>
      <c r="H18" s="8"/>
      <c r="I18" s="8"/>
      <c r="J18" s="8"/>
      <c r="K18" s="17">
        <v>75</v>
      </c>
      <c r="L18" s="7">
        <f t="shared" si="11"/>
        <v>15.113</v>
      </c>
      <c r="M18" s="9">
        <v>0.221</v>
      </c>
      <c r="N18" s="21">
        <f t="shared" si="12"/>
        <v>1.4623172103487065E-2</v>
      </c>
      <c r="O18" s="1"/>
      <c r="P18" s="7">
        <v>2.048</v>
      </c>
      <c r="Q18" s="1">
        <f t="shared" si="13"/>
        <v>1.07763671875</v>
      </c>
      <c r="R18" s="1"/>
      <c r="S18" s="1"/>
      <c r="T18" s="18" t="s">
        <v>36</v>
      </c>
      <c r="U18" s="28">
        <v>3.1689522363826819</v>
      </c>
      <c r="V18" s="20">
        <v>1.2389522363826819</v>
      </c>
      <c r="W18" s="22">
        <v>1.6419441639288508</v>
      </c>
      <c r="X18" s="1"/>
      <c r="Y18" s="1"/>
      <c r="Z18" s="1"/>
      <c r="AA18" s="1"/>
      <c r="AB18" s="18" t="s">
        <v>36</v>
      </c>
      <c r="AC18" s="7">
        <v>8.2246299999999994</v>
      </c>
      <c r="AD18" s="20">
        <v>4.1146299999999991</v>
      </c>
      <c r="AE18" s="22">
        <v>2.001126520681265</v>
      </c>
      <c r="AF18" s="1"/>
      <c r="AG18" s="1"/>
      <c r="AH18" s="18" t="s">
        <v>36</v>
      </c>
      <c r="AI18" s="7">
        <v>3.8208345722765369</v>
      </c>
      <c r="AJ18" s="20">
        <v>2.0208345722765371</v>
      </c>
      <c r="AK18" s="22">
        <v>2.1226858734869647</v>
      </c>
      <c r="AL18" s="1"/>
      <c r="AM18" s="1"/>
      <c r="AN18" s="18" t="s">
        <v>36</v>
      </c>
      <c r="AO18" s="7">
        <v>2.9406498324022352</v>
      </c>
      <c r="AP18" s="20">
        <v>0.95064983240223522</v>
      </c>
      <c r="AQ18" s="22">
        <v>1.4777134836192136</v>
      </c>
      <c r="AR18" s="1"/>
      <c r="AS18" s="1"/>
      <c r="AT18" s="18" t="s">
        <v>36</v>
      </c>
      <c r="AU18" s="7">
        <v>2.8430110684357546</v>
      </c>
      <c r="AV18" s="20">
        <v>0.77301106843575473</v>
      </c>
      <c r="AW18" s="22">
        <v>1.3734352987612342</v>
      </c>
      <c r="AX18" s="1"/>
      <c r="AY18" s="1"/>
      <c r="AZ18" s="1"/>
      <c r="BA18" s="1"/>
      <c r="BB18" s="1"/>
      <c r="BC18" s="1"/>
      <c r="BD18" s="1"/>
      <c r="BF18" s="1"/>
      <c r="BG18" s="1"/>
      <c r="BH18" s="1"/>
      <c r="BI18" s="1"/>
      <c r="BJ18" s="1"/>
      <c r="BK18" s="1"/>
      <c r="BL18" s="1"/>
      <c r="BM18" s="1"/>
      <c r="BN18" s="1"/>
      <c r="BO18" s="1"/>
      <c r="BP18" s="1"/>
      <c r="BQ18" s="1"/>
      <c r="BR18" s="1"/>
      <c r="BS18" s="1"/>
    </row>
    <row r="19" spans="1:71" x14ac:dyDescent="0.25">
      <c r="A19" s="1"/>
      <c r="B19" s="16">
        <v>100</v>
      </c>
      <c r="C19" s="7">
        <v>2.0659999999999998</v>
      </c>
      <c r="D19" s="6">
        <v>0.22900000000000001</v>
      </c>
      <c r="E19" s="21">
        <f t="shared" si="10"/>
        <v>0.11084220716360117</v>
      </c>
      <c r="F19" s="8"/>
      <c r="G19" s="8"/>
      <c r="H19" s="8"/>
      <c r="I19" s="8"/>
      <c r="J19" s="8"/>
      <c r="K19" s="17">
        <v>100</v>
      </c>
      <c r="L19" s="7">
        <f t="shared" si="11"/>
        <v>15.186</v>
      </c>
      <c r="M19" s="9">
        <v>0.128</v>
      </c>
      <c r="N19" s="21">
        <f t="shared" si="12"/>
        <v>8.4288160147504287E-3</v>
      </c>
      <c r="O19" s="1"/>
      <c r="P19" s="7">
        <v>1.98</v>
      </c>
      <c r="Q19" s="1">
        <f t="shared" si="13"/>
        <v>1.0343434343434343</v>
      </c>
      <c r="R19" s="1"/>
      <c r="S19" s="1"/>
      <c r="T19" s="18" t="s">
        <v>58</v>
      </c>
      <c r="U19" s="28">
        <v>5.6818319667905959</v>
      </c>
      <c r="V19" s="20">
        <v>3.7518319667905962</v>
      </c>
      <c r="W19" s="22">
        <v>2.9439543869381328</v>
      </c>
      <c r="X19" s="1"/>
      <c r="Y19" s="1"/>
      <c r="Z19" s="1"/>
      <c r="AA19" s="1"/>
      <c r="AB19" s="18" t="s">
        <v>58</v>
      </c>
      <c r="AC19" s="7">
        <v>12.683071199999999</v>
      </c>
      <c r="AD19" s="20">
        <v>8.5730711999999976</v>
      </c>
      <c r="AE19" s="22">
        <v>3.0859054014598533</v>
      </c>
      <c r="AF19" s="1"/>
      <c r="AG19" s="1"/>
      <c r="AH19" s="18" t="s">
        <v>58</v>
      </c>
      <c r="AI19" s="7">
        <v>6.3715917417583556</v>
      </c>
      <c r="AJ19" s="20">
        <v>4.5715917417583558</v>
      </c>
      <c r="AK19" s="22">
        <v>3.5397731898657532</v>
      </c>
      <c r="AL19" s="1"/>
      <c r="AM19" s="1"/>
      <c r="AN19" s="18" t="s">
        <v>58</v>
      </c>
      <c r="AO19" s="7">
        <v>5.4381632077515762</v>
      </c>
      <c r="AP19" s="20">
        <v>3.448163207751576</v>
      </c>
      <c r="AQ19" s="22">
        <v>2.7327453305284304</v>
      </c>
      <c r="AR19" s="1"/>
      <c r="AS19" s="1"/>
      <c r="AT19" s="18" t="s">
        <v>58</v>
      </c>
      <c r="AU19" s="7">
        <v>5.328810017033712</v>
      </c>
      <c r="AV19" s="20">
        <v>3.2588100170337122</v>
      </c>
      <c r="AW19" s="22">
        <v>2.5743043560549337</v>
      </c>
      <c r="AX19" s="1"/>
      <c r="AY19" s="1"/>
      <c r="AZ19" s="1"/>
      <c r="BA19" s="1"/>
      <c r="BB19" s="1"/>
      <c r="BC19" s="1"/>
      <c r="BD19" s="1"/>
      <c r="BE19" s="1"/>
      <c r="BF19" s="1"/>
      <c r="BG19" s="1"/>
      <c r="BH19" s="1"/>
      <c r="BI19" s="1"/>
      <c r="BJ19" s="1"/>
      <c r="BK19" s="1"/>
      <c r="BL19" s="1"/>
      <c r="BM19" s="1"/>
      <c r="BN19" s="1"/>
      <c r="BO19" s="1"/>
      <c r="BP19" s="1"/>
      <c r="BQ19" s="1"/>
      <c r="BR19" s="1"/>
      <c r="BS19" s="1"/>
    </row>
    <row r="20" spans="1:71" x14ac:dyDescent="0.25">
      <c r="A20" s="1"/>
      <c r="B20" s="8"/>
      <c r="C20" s="8"/>
      <c r="D20" s="8"/>
      <c r="E20" s="8"/>
      <c r="F20" s="8"/>
      <c r="G20" s="8"/>
      <c r="H20" s="8"/>
      <c r="I20" s="8"/>
      <c r="J20" s="8"/>
      <c r="K20" s="12"/>
      <c r="L20" s="12"/>
      <c r="M20" s="12"/>
      <c r="N20" s="1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x14ac:dyDescent="0.25">
      <c r="A21" s="1"/>
      <c r="B21" s="8" t="s">
        <v>6</v>
      </c>
      <c r="C21" s="8"/>
      <c r="D21" s="8"/>
      <c r="E21" s="8"/>
      <c r="F21" s="8"/>
      <c r="G21" s="8"/>
      <c r="H21" s="8"/>
      <c r="I21" s="8"/>
      <c r="J21" s="1"/>
      <c r="K21" s="474" t="s">
        <v>209</v>
      </c>
      <c r="L21" s="474"/>
      <c r="M21" s="474"/>
      <c r="N21" s="474"/>
      <c r="P21" s="1"/>
      <c r="Q21" s="1"/>
      <c r="R21" s="1"/>
      <c r="S21" s="1"/>
      <c r="T21" s="19" t="s">
        <v>23</v>
      </c>
      <c r="U21" s="19" t="s">
        <v>8</v>
      </c>
      <c r="V21" s="19" t="s">
        <v>12</v>
      </c>
      <c r="W21" s="19" t="s">
        <v>13</v>
      </c>
      <c r="X21" s="1"/>
      <c r="Y21" s="1"/>
      <c r="Z21" s="1"/>
      <c r="AA21" s="1"/>
      <c r="AB21" s="19" t="s">
        <v>32</v>
      </c>
      <c r="AC21" s="19" t="s">
        <v>8</v>
      </c>
      <c r="AD21" s="19" t="s">
        <v>12</v>
      </c>
      <c r="AE21" s="19" t="s">
        <v>13</v>
      </c>
      <c r="AF21" s="1"/>
      <c r="AG21" s="1"/>
      <c r="AH21" s="19" t="s">
        <v>44</v>
      </c>
      <c r="AI21" s="19" t="s">
        <v>8</v>
      </c>
      <c r="AJ21" s="19" t="s">
        <v>12</v>
      </c>
      <c r="AK21" s="19" t="s">
        <v>13</v>
      </c>
      <c r="AL21" s="1"/>
      <c r="AM21" s="1"/>
      <c r="AN21" s="19" t="s">
        <v>46</v>
      </c>
      <c r="AO21" s="19" t="s">
        <v>8</v>
      </c>
      <c r="AP21" s="19" t="s">
        <v>12</v>
      </c>
      <c r="AQ21" s="19" t="s">
        <v>13</v>
      </c>
      <c r="AR21" s="1"/>
      <c r="AS21" s="1"/>
      <c r="AT21" s="19" t="s">
        <v>48</v>
      </c>
      <c r="AU21" s="19" t="s">
        <v>8</v>
      </c>
      <c r="AV21" s="19" t="s">
        <v>12</v>
      </c>
      <c r="AW21" s="19" t="s">
        <v>13</v>
      </c>
      <c r="AX21" s="1"/>
      <c r="AY21" s="1"/>
      <c r="AZ21" s="1"/>
      <c r="BA21" s="1"/>
      <c r="BB21" s="1"/>
      <c r="BC21" s="1"/>
      <c r="BD21" s="1"/>
      <c r="BE21" s="1"/>
      <c r="BF21" s="1"/>
      <c r="BG21" s="1"/>
      <c r="BH21" s="1"/>
      <c r="BI21" s="1"/>
      <c r="BJ21" s="1"/>
      <c r="BK21" s="1"/>
      <c r="BL21" s="1"/>
      <c r="BM21" s="1"/>
      <c r="BN21" s="1"/>
      <c r="BO21" s="1"/>
      <c r="BP21" s="1"/>
      <c r="BQ21" s="1"/>
      <c r="BR21" s="1"/>
      <c r="BS21" s="1"/>
    </row>
    <row r="22" spans="1:71" x14ac:dyDescent="0.25">
      <c r="A22" s="1"/>
      <c r="B22" s="11" t="s">
        <v>0</v>
      </c>
      <c r="C22" s="11" t="s">
        <v>1</v>
      </c>
      <c r="D22" s="11" t="s">
        <v>2</v>
      </c>
      <c r="E22" s="11" t="s">
        <v>3</v>
      </c>
      <c r="F22" s="8"/>
      <c r="G22" s="8"/>
      <c r="H22" s="8"/>
      <c r="I22" s="8"/>
      <c r="J22" s="1"/>
      <c r="K22" s="15" t="s">
        <v>0</v>
      </c>
      <c r="L22" s="15" t="s">
        <v>1</v>
      </c>
      <c r="M22" s="15" t="s">
        <v>2</v>
      </c>
      <c r="N22" s="15" t="s">
        <v>3</v>
      </c>
      <c r="O22" s="475" t="s">
        <v>93</v>
      </c>
      <c r="P22" s="1"/>
      <c r="Q22" s="1"/>
      <c r="R22" s="1"/>
      <c r="S22" s="1"/>
      <c r="T22" s="18" t="s">
        <v>21</v>
      </c>
      <c r="U22" s="7">
        <v>1.93</v>
      </c>
      <c r="V22" s="20">
        <v>0</v>
      </c>
      <c r="W22" s="22">
        <v>0</v>
      </c>
      <c r="X22" s="1"/>
      <c r="Y22" s="1"/>
      <c r="Z22" s="1"/>
      <c r="AA22" s="1"/>
      <c r="AB22" s="18" t="s">
        <v>21</v>
      </c>
      <c r="AC22" s="7">
        <v>4.1100000000000003</v>
      </c>
      <c r="AD22" s="20">
        <v>0</v>
      </c>
      <c r="AE22" s="22">
        <v>0</v>
      </c>
      <c r="AF22" s="1"/>
      <c r="AG22" s="1"/>
      <c r="AH22" s="18" t="s">
        <v>21</v>
      </c>
      <c r="AI22" s="7">
        <v>1.8</v>
      </c>
      <c r="AJ22" s="20">
        <v>0</v>
      </c>
      <c r="AK22" s="22">
        <v>0</v>
      </c>
      <c r="AL22" s="1"/>
      <c r="AM22" s="1"/>
      <c r="AN22" s="18" t="s">
        <v>21</v>
      </c>
      <c r="AO22" s="7">
        <v>1.99</v>
      </c>
      <c r="AP22" s="20">
        <v>0</v>
      </c>
      <c r="AQ22" s="22">
        <v>0</v>
      </c>
      <c r="AR22" s="1"/>
      <c r="AS22" s="1"/>
      <c r="AT22" s="18" t="s">
        <v>21</v>
      </c>
      <c r="AU22" s="7">
        <v>2.0699999999999998</v>
      </c>
      <c r="AV22" s="20">
        <v>0</v>
      </c>
      <c r="AW22" s="22">
        <v>0</v>
      </c>
      <c r="AX22" s="1"/>
      <c r="AY22" s="1"/>
      <c r="AZ22" s="1"/>
      <c r="BA22" s="1"/>
      <c r="BB22" s="1"/>
      <c r="BC22" s="1"/>
      <c r="BD22" s="1"/>
      <c r="BE22" s="1"/>
      <c r="BF22" s="1"/>
      <c r="BG22" s="1"/>
      <c r="BH22" s="1"/>
      <c r="BI22" s="1"/>
      <c r="BJ22" s="1"/>
      <c r="BK22" s="1"/>
      <c r="BL22" s="1"/>
      <c r="BM22" s="1"/>
      <c r="BN22" s="1"/>
      <c r="BO22" s="1"/>
      <c r="BP22" s="1"/>
      <c r="BQ22" s="1"/>
      <c r="BR22" s="1"/>
      <c r="BS22" s="1"/>
    </row>
    <row r="23" spans="1:71" x14ac:dyDescent="0.25">
      <c r="A23" s="1"/>
      <c r="B23" s="16">
        <v>1</v>
      </c>
      <c r="C23" s="7">
        <v>7.21</v>
      </c>
      <c r="D23" s="6">
        <v>0.9</v>
      </c>
      <c r="E23" s="21">
        <f>D23/C23</f>
        <v>0.12482662968099861</v>
      </c>
      <c r="F23" s="8"/>
      <c r="G23" s="8"/>
      <c r="H23" s="8"/>
      <c r="I23" s="8"/>
      <c r="J23" s="1"/>
      <c r="K23" s="17">
        <v>1</v>
      </c>
      <c r="L23" s="7">
        <f>L15+7.36*$K$44*1.18</f>
        <v>24.541919999999998</v>
      </c>
      <c r="M23" s="9">
        <f>L23*N23</f>
        <v>2.9416248289234446</v>
      </c>
      <c r="N23" s="21">
        <f>(N15+E23)/2</f>
        <v>0.11986123452946815</v>
      </c>
      <c r="O23" s="475"/>
      <c r="P23" s="1"/>
      <c r="Q23" s="1"/>
      <c r="R23" s="1"/>
      <c r="S23" s="1"/>
      <c r="T23" s="18" t="s">
        <v>28</v>
      </c>
      <c r="U23" s="7">
        <v>1.1413892999999999</v>
      </c>
      <c r="V23" s="20">
        <v>-0.7886107</v>
      </c>
      <c r="W23" s="22">
        <v>0.59139341968911918</v>
      </c>
      <c r="X23" s="1"/>
      <c r="Y23" s="1"/>
      <c r="Z23" s="1"/>
      <c r="AA23" s="1"/>
      <c r="AB23" s="18" t="s">
        <v>28</v>
      </c>
      <c r="AC23" s="7">
        <v>2.4336621000000003</v>
      </c>
      <c r="AD23" s="20">
        <v>-1.6763379</v>
      </c>
      <c r="AE23" s="22">
        <v>0.59213189781021902</v>
      </c>
      <c r="AF23" s="1"/>
      <c r="AG23" s="1"/>
      <c r="AH23" s="18" t="s">
        <v>28</v>
      </c>
      <c r="AI23" s="7">
        <v>1.0644682999999999</v>
      </c>
      <c r="AJ23" s="20">
        <v>-0.73553170000000012</v>
      </c>
      <c r="AK23" s="22">
        <v>0.59137127777777776</v>
      </c>
      <c r="AL23" s="1"/>
      <c r="AM23" s="1"/>
      <c r="AN23" s="18" t="s">
        <v>28</v>
      </c>
      <c r="AO23" s="7">
        <v>1.1792581</v>
      </c>
      <c r="AP23" s="20">
        <v>-0.81074190000000002</v>
      </c>
      <c r="AQ23" s="22">
        <v>0.59259201005025119</v>
      </c>
      <c r="AR23" s="1"/>
      <c r="AS23" s="1"/>
      <c r="AT23" s="18" t="s">
        <v>28</v>
      </c>
      <c r="AU23" s="7">
        <v>1.2224522</v>
      </c>
      <c r="AV23" s="20">
        <v>-0.84754779999999985</v>
      </c>
      <c r="AW23" s="22">
        <v>0.61429758793969846</v>
      </c>
      <c r="AX23" s="1"/>
      <c r="AY23" s="1"/>
      <c r="AZ23" s="1"/>
      <c r="BB23" s="1"/>
      <c r="BC23" s="1"/>
      <c r="BD23" s="1"/>
      <c r="BE23" s="1"/>
      <c r="BF23" s="1"/>
      <c r="BG23" s="1"/>
      <c r="BH23" s="1"/>
      <c r="BI23" s="1"/>
      <c r="BJ23" s="1"/>
      <c r="BK23" s="1"/>
      <c r="BL23" s="1"/>
      <c r="BM23" s="1"/>
      <c r="BN23" s="1"/>
      <c r="BO23" s="1"/>
      <c r="BP23" s="1"/>
      <c r="BQ23" s="1"/>
      <c r="BR23" s="1"/>
      <c r="BS23" s="1"/>
    </row>
    <row r="24" spans="1:71" x14ac:dyDescent="0.25">
      <c r="A24" s="1"/>
      <c r="B24" s="16">
        <v>25</v>
      </c>
      <c r="C24" s="7">
        <v>3.9430000000000001</v>
      </c>
      <c r="D24" s="6">
        <v>0.36299999999999999</v>
      </c>
      <c r="E24" s="21">
        <f t="shared" ref="E24:E27" si="14">D24/C24</f>
        <v>9.2061881815876226E-2</v>
      </c>
      <c r="F24" s="8"/>
      <c r="G24" s="8"/>
      <c r="H24" s="8"/>
      <c r="I24" s="8"/>
      <c r="J24" s="1"/>
      <c r="K24" s="17">
        <v>25</v>
      </c>
      <c r="L24" s="7">
        <f>L23/H46</f>
        <v>16.450876045113883</v>
      </c>
      <c r="M24" s="9">
        <f>L24*N24</f>
        <v>1.1283009680524945</v>
      </c>
      <c r="N24" s="21">
        <f>(N16+E24)/2</f>
        <v>6.8586071948892602E-2</v>
      </c>
      <c r="O24" s="475"/>
      <c r="P24" s="1"/>
      <c r="Q24" s="1"/>
      <c r="R24" s="1"/>
      <c r="S24" s="1"/>
      <c r="T24" s="18" t="s">
        <v>25</v>
      </c>
      <c r="U24" s="28">
        <v>2.2496434000000001</v>
      </c>
      <c r="V24" s="20">
        <v>0.31964340000000013</v>
      </c>
      <c r="W24" s="22">
        <v>1.1656183419689119</v>
      </c>
      <c r="X24" s="1"/>
      <c r="Y24" s="1"/>
      <c r="Z24" s="1"/>
      <c r="AA24" s="1"/>
      <c r="AB24" s="18" t="s">
        <v>25</v>
      </c>
      <c r="AC24" s="28">
        <v>4.2661569999999998</v>
      </c>
      <c r="AD24" s="20">
        <v>0.15615699999999944</v>
      </c>
      <c r="AE24" s="22">
        <v>1.0379944038929438</v>
      </c>
      <c r="AF24" s="1"/>
      <c r="AG24" s="1"/>
      <c r="AH24" s="18" t="s">
        <v>25</v>
      </c>
      <c r="AI24" s="28">
        <v>2.3330731</v>
      </c>
      <c r="AJ24" s="20">
        <v>0.53307309999999997</v>
      </c>
      <c r="AK24" s="22">
        <v>1.2961517222222223</v>
      </c>
      <c r="AL24" s="1"/>
      <c r="AM24" s="1"/>
      <c r="AN24" s="18" t="s">
        <v>25</v>
      </c>
      <c r="AO24" s="28">
        <v>2.2230169000000002</v>
      </c>
      <c r="AP24" s="20">
        <v>0.23301690000000019</v>
      </c>
      <c r="AQ24" s="22">
        <v>1.1170939195979901</v>
      </c>
      <c r="AR24" s="1"/>
      <c r="AS24" s="1"/>
      <c r="AT24" s="18" t="s">
        <v>25</v>
      </c>
      <c r="AU24" s="28">
        <v>2.2082244000000002</v>
      </c>
      <c r="AV24" s="20">
        <v>0.13822440000000036</v>
      </c>
      <c r="AW24" s="22">
        <v>1.109660502512563</v>
      </c>
      <c r="AX24" s="1"/>
      <c r="AY24" s="1"/>
      <c r="AZ24" s="1"/>
      <c r="BA24" s="1"/>
      <c r="BB24" s="1"/>
      <c r="BC24" s="1"/>
      <c r="BD24" s="1"/>
      <c r="BE24" s="1"/>
      <c r="BF24" s="1"/>
      <c r="BG24" s="1"/>
      <c r="BH24" s="1"/>
      <c r="BI24" s="1"/>
      <c r="BJ24" s="1"/>
      <c r="BK24" s="1"/>
      <c r="BL24" s="1"/>
      <c r="BM24" s="1"/>
      <c r="BN24" s="1"/>
      <c r="BO24" s="1"/>
      <c r="BP24" s="1"/>
      <c r="BQ24" s="1"/>
      <c r="BR24" s="1"/>
      <c r="BS24" s="1"/>
    </row>
    <row r="25" spans="1:71" ht="15" customHeight="1" x14ac:dyDescent="0.25">
      <c r="A25" s="1"/>
      <c r="B25" s="16">
        <v>50</v>
      </c>
      <c r="C25" s="7">
        <v>3.802</v>
      </c>
      <c r="D25" s="6">
        <v>0.15</v>
      </c>
      <c r="E25" s="21">
        <f t="shared" si="14"/>
        <v>3.9452919516044183E-2</v>
      </c>
      <c r="F25" s="8"/>
      <c r="G25" s="8"/>
      <c r="H25" s="8"/>
      <c r="I25" s="8"/>
      <c r="J25" s="1"/>
      <c r="K25" s="17">
        <v>50</v>
      </c>
      <c r="L25" s="7">
        <f>L24/H47</f>
        <v>16.220166106978276</v>
      </c>
      <c r="M25" s="9">
        <f t="shared" ref="M25:M27" si="15">L25*N25</f>
        <v>0.52852530451267976</v>
      </c>
      <c r="N25" s="21">
        <f>(N17+E25)/2</f>
        <v>3.2584456967138978E-2</v>
      </c>
      <c r="O25" s="475"/>
      <c r="P25" s="1"/>
      <c r="Q25" s="1"/>
      <c r="R25" s="1"/>
      <c r="S25" s="1"/>
      <c r="T25" s="18" t="s">
        <v>26</v>
      </c>
      <c r="U25" s="28">
        <v>3.2159604055201099</v>
      </c>
      <c r="V25" s="20">
        <v>1.2859604055201099</v>
      </c>
      <c r="W25" s="22">
        <v>1.6663007282487616</v>
      </c>
      <c r="X25" s="1"/>
      <c r="Y25" s="1"/>
      <c r="Z25" s="1"/>
      <c r="AA25" s="1"/>
      <c r="AB25" s="18" t="s">
        <v>26</v>
      </c>
      <c r="AC25" s="28">
        <v>6.0986518999999983</v>
      </c>
      <c r="AD25" s="20">
        <v>1.988651899999998</v>
      </c>
      <c r="AE25" s="22">
        <v>1.4838569099756687</v>
      </c>
      <c r="AF25" s="1"/>
      <c r="AG25" s="1"/>
      <c r="AH25" s="18" t="s">
        <v>26</v>
      </c>
      <c r="AI25" s="28">
        <v>3.3352266909431338</v>
      </c>
      <c r="AJ25" s="20">
        <v>1.5352266909431338</v>
      </c>
      <c r="AK25" s="22">
        <v>1.85290371719063</v>
      </c>
      <c r="AL25" s="1"/>
      <c r="AM25" s="1"/>
      <c r="AN25" s="18" t="s">
        <v>26</v>
      </c>
      <c r="AO25" s="28">
        <v>3.1778966974063794</v>
      </c>
      <c r="AP25" s="20">
        <v>1.1878966974063794</v>
      </c>
      <c r="AQ25" s="22">
        <v>1.5969330137720499</v>
      </c>
      <c r="AR25" s="1"/>
      <c r="AS25" s="1"/>
      <c r="AT25" s="18" t="s">
        <v>26</v>
      </c>
      <c r="AU25" s="28">
        <v>3.1567501928987509</v>
      </c>
      <c r="AV25" s="20">
        <v>1.0867501928987511</v>
      </c>
      <c r="AW25" s="22">
        <v>1.5863066295973622</v>
      </c>
      <c r="AX25" s="1"/>
      <c r="AY25" s="1"/>
      <c r="AZ25" s="1"/>
      <c r="BA25" s="1"/>
      <c r="BB25" s="1"/>
      <c r="BC25" s="1"/>
      <c r="BD25" s="1"/>
      <c r="BE25" s="1"/>
      <c r="BF25" s="1"/>
      <c r="BG25" s="1"/>
      <c r="BH25" s="1"/>
      <c r="BI25" s="1"/>
      <c r="BJ25" s="1"/>
      <c r="BK25" s="1"/>
      <c r="BL25" s="1"/>
      <c r="BM25" s="1"/>
      <c r="BN25" s="1"/>
      <c r="BO25" s="1"/>
      <c r="BP25" s="1"/>
      <c r="BQ25" s="1"/>
      <c r="BR25" s="1"/>
      <c r="BS25" s="1"/>
    </row>
    <row r="26" spans="1:71" x14ac:dyDescent="0.25">
      <c r="A26" s="1"/>
      <c r="B26" s="16">
        <v>75</v>
      </c>
      <c r="C26" s="7">
        <v>3.7570000000000001</v>
      </c>
      <c r="D26" s="6">
        <v>8.6999999999999994E-2</v>
      </c>
      <c r="E26" s="21">
        <f t="shared" si="14"/>
        <v>2.3156774021825921E-2</v>
      </c>
      <c r="F26" s="8"/>
      <c r="G26" s="8"/>
      <c r="H26" s="8"/>
      <c r="I26" s="8"/>
      <c r="J26" s="1"/>
      <c r="K26" s="17">
        <v>75</v>
      </c>
      <c r="L26" s="7">
        <f>L25/H48</f>
        <v>16.157612902614868</v>
      </c>
      <c r="M26" s="9">
        <f t="shared" si="15"/>
        <v>0.30521687248722584</v>
      </c>
      <c r="N26" s="21">
        <f>(N18+E26)/2</f>
        <v>1.8889973062656492E-2</v>
      </c>
      <c r="O26" s="475"/>
      <c r="P26" s="1"/>
      <c r="Q26" s="1"/>
      <c r="R26" s="1"/>
      <c r="S26" s="1"/>
      <c r="T26" s="18" t="s">
        <v>27</v>
      </c>
      <c r="U26" s="28">
        <v>3.0738836692912015</v>
      </c>
      <c r="V26" s="20">
        <v>1.1438836692912016</v>
      </c>
      <c r="W26" s="22">
        <v>1.5926858390109853</v>
      </c>
      <c r="X26" s="1" t="s">
        <v>95</v>
      </c>
      <c r="Y26" s="1"/>
      <c r="Z26" s="1"/>
      <c r="AA26" s="1"/>
      <c r="AB26" s="18" t="s">
        <v>27</v>
      </c>
      <c r="AC26" s="7">
        <v>7.977891099999999</v>
      </c>
      <c r="AD26" s="20">
        <v>3.8678910999999987</v>
      </c>
      <c r="AE26" s="22">
        <v>1.9410927250608268</v>
      </c>
      <c r="AF26" s="1"/>
      <c r="AG26" s="1"/>
      <c r="AH26" s="18" t="s">
        <v>27</v>
      </c>
      <c r="AI26" s="28">
        <v>3.7062095351082407</v>
      </c>
      <c r="AJ26" s="20">
        <v>1.9062095351082406</v>
      </c>
      <c r="AK26" s="22">
        <v>2.059005297282356</v>
      </c>
      <c r="AL26" s="1"/>
      <c r="AM26" s="1"/>
      <c r="AN26" s="18" t="s">
        <v>27</v>
      </c>
      <c r="AO26" s="28">
        <v>2.8524303374301683</v>
      </c>
      <c r="AP26" s="20">
        <v>0.86243033743016828</v>
      </c>
      <c r="AQ26" s="22">
        <v>1.4333820791106373</v>
      </c>
      <c r="AR26" s="1"/>
      <c r="AS26" s="1"/>
      <c r="AT26" s="18" t="s">
        <v>27</v>
      </c>
      <c r="AU26" s="28">
        <v>2.7577207363826819</v>
      </c>
      <c r="AV26" s="20">
        <v>0.68772073638268205</v>
      </c>
      <c r="AW26" s="22">
        <v>1.3857893147651668</v>
      </c>
      <c r="AX26" s="1"/>
      <c r="AY26" s="1"/>
      <c r="AZ26" s="1"/>
      <c r="BA26" s="1"/>
      <c r="BB26" s="1"/>
      <c r="BC26" s="1"/>
      <c r="BD26" s="1"/>
      <c r="BE26" s="1"/>
      <c r="BF26" s="1"/>
      <c r="BG26" s="1"/>
      <c r="BH26" s="1"/>
      <c r="BI26" s="1"/>
      <c r="BJ26" s="1"/>
      <c r="BK26" s="1"/>
      <c r="BL26" s="1"/>
      <c r="BM26" s="1"/>
      <c r="BN26" s="1"/>
      <c r="BO26" s="1"/>
      <c r="BP26" s="1"/>
      <c r="BQ26" s="1"/>
      <c r="BR26" s="1"/>
      <c r="BS26" s="1"/>
    </row>
    <row r="27" spans="1:71" x14ac:dyDescent="0.25">
      <c r="A27" s="1"/>
      <c r="B27" s="16">
        <v>100</v>
      </c>
      <c r="C27" s="7">
        <v>3.7320000000000002</v>
      </c>
      <c r="D27" s="6">
        <v>6.2E-2</v>
      </c>
      <c r="E27" s="21">
        <f t="shared" si="14"/>
        <v>1.6613076098606645E-2</v>
      </c>
      <c r="F27" s="8"/>
      <c r="G27" s="8"/>
      <c r="H27" s="8"/>
      <c r="I27" s="8"/>
      <c r="J27" s="1"/>
      <c r="K27" s="17">
        <v>100</v>
      </c>
      <c r="L27" s="7">
        <f>L26/H49</f>
        <v>16.142344166988089</v>
      </c>
      <c r="M27" s="9">
        <f t="shared" si="15"/>
        <v>0.20211742054319728</v>
      </c>
      <c r="N27" s="21">
        <f>(N19+E27)/2</f>
        <v>1.2520946056678537E-2</v>
      </c>
      <c r="O27" s="475"/>
      <c r="P27" s="1"/>
      <c r="Q27" s="1"/>
      <c r="R27" s="1"/>
      <c r="S27" s="1"/>
      <c r="T27" s="18" t="s">
        <v>57</v>
      </c>
      <c r="U27" s="28">
        <v>5.5113770077868782</v>
      </c>
      <c r="V27" s="20">
        <v>3.5813770077868785</v>
      </c>
      <c r="W27" s="22">
        <v>2.8556357553299887</v>
      </c>
      <c r="X27" s="1"/>
      <c r="Y27" s="1"/>
      <c r="Z27" s="1"/>
      <c r="AA27" s="1"/>
      <c r="AB27" s="18" t="s">
        <v>57</v>
      </c>
      <c r="AC27" s="28">
        <v>12.302579063999998</v>
      </c>
      <c r="AD27" s="20">
        <v>8.1925790639999967</v>
      </c>
      <c r="AE27" s="22">
        <v>2.9933282394160576</v>
      </c>
      <c r="AF27" s="1"/>
      <c r="AG27" s="1"/>
      <c r="AH27" s="18" t="s">
        <v>57</v>
      </c>
      <c r="AI27" s="28">
        <v>6.1804439895056049</v>
      </c>
      <c r="AJ27" s="20">
        <v>4.3804439895056051</v>
      </c>
      <c r="AK27" s="22">
        <v>3.4335799941697802</v>
      </c>
      <c r="AL27" s="1"/>
      <c r="AM27" s="1"/>
      <c r="AN27" s="18" t="s">
        <v>57</v>
      </c>
      <c r="AO27" s="28">
        <v>5.2750183115190286</v>
      </c>
      <c r="AP27" s="20">
        <v>3.2850183115190283</v>
      </c>
      <c r="AQ27" s="22">
        <v>2.6507629706125773</v>
      </c>
      <c r="AR27" s="1"/>
      <c r="AS27" s="1"/>
      <c r="AT27" s="18" t="s">
        <v>57</v>
      </c>
      <c r="AU27" s="28">
        <v>5.1689457165227006</v>
      </c>
      <c r="AV27" s="20">
        <v>3.0989457165227008</v>
      </c>
      <c r="AW27" s="22">
        <v>2.5974601590566335</v>
      </c>
      <c r="AX27" s="1"/>
      <c r="AY27" s="1"/>
      <c r="AZ27" s="1"/>
      <c r="BA27" s="1"/>
      <c r="BB27" s="1"/>
      <c r="BC27" s="1"/>
      <c r="BD27" s="1"/>
      <c r="BE27" s="1"/>
      <c r="BF27" s="1"/>
      <c r="BG27" s="1"/>
      <c r="BH27" s="1"/>
      <c r="BI27" s="1"/>
      <c r="BJ27" s="1"/>
      <c r="BK27" s="1"/>
      <c r="BL27" s="1"/>
      <c r="BM27" s="1"/>
      <c r="BN27" s="1"/>
      <c r="BO27" s="1"/>
      <c r="BP27" s="1"/>
      <c r="BQ27" s="1"/>
      <c r="BR27" s="1"/>
      <c r="BS27" s="1"/>
    </row>
    <row r="28" spans="1:71" x14ac:dyDescent="0.25">
      <c r="A28" s="1"/>
      <c r="B28" s="8"/>
      <c r="C28" s="8"/>
      <c r="D28" s="8"/>
      <c r="E28" s="8"/>
      <c r="F28" s="8"/>
      <c r="G28" s="8"/>
      <c r="H28" s="8"/>
      <c r="I28" s="8"/>
      <c r="J28" s="8"/>
      <c r="K28" s="8"/>
      <c r="L28" s="8"/>
      <c r="M28" s="8"/>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x14ac:dyDescent="0.25">
      <c r="A29" s="1"/>
      <c r="B29" s="8" t="s">
        <v>7</v>
      </c>
      <c r="C29" s="8"/>
      <c r="D29" s="8"/>
      <c r="E29" s="8"/>
      <c r="F29" s="8"/>
      <c r="G29" s="8"/>
      <c r="H29" s="8"/>
      <c r="I29" s="8"/>
      <c r="J29" s="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x14ac:dyDescent="0.25">
      <c r="A30" s="1"/>
      <c r="B30" s="11" t="s">
        <v>0</v>
      </c>
      <c r="C30" s="11" t="s">
        <v>1</v>
      </c>
      <c r="D30" s="11" t="s">
        <v>2</v>
      </c>
      <c r="E30" s="11" t="s">
        <v>3</v>
      </c>
      <c r="F30" s="8"/>
      <c r="G30" s="8"/>
      <c r="H30" s="8"/>
      <c r="I30" s="8"/>
      <c r="J30" s="8"/>
      <c r="K30" s="1"/>
      <c r="L30" s="1"/>
      <c r="M30" s="1"/>
      <c r="N30" s="1"/>
      <c r="O30" s="1"/>
      <c r="P30" s="1"/>
      <c r="Q30" s="1"/>
      <c r="R30" s="1"/>
      <c r="S30" s="1"/>
      <c r="T30" s="1"/>
      <c r="U30" s="1"/>
      <c r="V30" s="1"/>
      <c r="W30" s="1"/>
      <c r="X30" s="1"/>
      <c r="Y30" s="1"/>
      <c r="Z30" s="1"/>
      <c r="AA30" s="1"/>
      <c r="AB30" s="1"/>
      <c r="AC30" s="1"/>
      <c r="AD30" s="1" t="s">
        <v>38</v>
      </c>
      <c r="AE30" s="1"/>
      <c r="AF30" s="1"/>
      <c r="AG30" s="1"/>
      <c r="AH30" s="1"/>
      <c r="AI30" s="1"/>
      <c r="AJ30" s="1" t="s">
        <v>49</v>
      </c>
      <c r="AK30" s="1"/>
      <c r="AL30" s="1"/>
      <c r="AM30" s="1"/>
      <c r="AN30" s="1"/>
      <c r="AO30" s="1"/>
      <c r="AP30" s="1" t="s">
        <v>50</v>
      </c>
      <c r="AQ30" s="1"/>
      <c r="AR30" s="1"/>
      <c r="AS30" s="1"/>
      <c r="AT30" s="1"/>
      <c r="AU30" s="1"/>
      <c r="AV30" s="1" t="s">
        <v>51</v>
      </c>
      <c r="AW30" s="1"/>
      <c r="AX30" s="1"/>
      <c r="AY30" s="1"/>
      <c r="AZ30" s="1"/>
      <c r="BA30" s="1"/>
      <c r="BB30" s="1"/>
      <c r="BC30" s="1"/>
      <c r="BD30" s="1"/>
      <c r="BE30" s="1"/>
      <c r="BF30" s="1"/>
      <c r="BG30" s="1"/>
      <c r="BH30" s="1"/>
      <c r="BI30" s="1"/>
      <c r="BJ30" s="1"/>
      <c r="BK30" s="1"/>
      <c r="BL30" s="1"/>
      <c r="BM30" s="1"/>
      <c r="BN30" s="1"/>
      <c r="BO30" s="1"/>
      <c r="BP30" s="1"/>
      <c r="BQ30" s="1"/>
      <c r="BR30" s="1"/>
      <c r="BS30" s="1"/>
    </row>
    <row r="31" spans="1:71" x14ac:dyDescent="0.25">
      <c r="A31" s="1"/>
      <c r="B31" s="16">
        <v>1</v>
      </c>
      <c r="C31" s="7">
        <f>C15+7.36*$K$44</f>
        <v>10.306999999999999</v>
      </c>
      <c r="D31" s="6">
        <f>C31*E31</f>
        <v>1.2865880721220526</v>
      </c>
      <c r="E31" s="21">
        <v>0.12482662968099861</v>
      </c>
      <c r="F31" s="8"/>
      <c r="G31" s="8"/>
      <c r="H31" s="8"/>
      <c r="I31" s="8"/>
      <c r="J31" s="8"/>
      <c r="K31" s="1"/>
      <c r="L31" s="1"/>
      <c r="M31" s="1"/>
      <c r="N31" s="1"/>
      <c r="O31" s="1"/>
      <c r="P31" s="1"/>
      <c r="Q31" s="1"/>
      <c r="R31" s="1"/>
      <c r="S31" s="1"/>
      <c r="T31" s="1"/>
      <c r="U31" s="1"/>
      <c r="V31" s="1"/>
      <c r="W31" s="1"/>
      <c r="X31" s="1"/>
      <c r="Y31" s="1"/>
      <c r="Z31" s="1"/>
      <c r="AA31" s="1"/>
      <c r="AB31" s="1"/>
      <c r="AC31" s="1"/>
      <c r="AD31" s="1">
        <f>AC4/1.2</f>
        <v>3.4275000000000007</v>
      </c>
      <c r="AE31" s="1"/>
      <c r="AF31" s="1"/>
      <c r="AG31" s="1"/>
      <c r="AH31" s="1"/>
      <c r="AI31" s="1"/>
      <c r="AJ31" s="1">
        <f>AI4/1.2</f>
        <v>1.4991666666666668</v>
      </c>
      <c r="AK31" s="1"/>
      <c r="AL31" s="1"/>
      <c r="AM31" s="1"/>
      <c r="AN31" s="1"/>
      <c r="AO31" s="1"/>
      <c r="AP31" s="1">
        <f>AO4/1.2</f>
        <v>1.6608333333333334</v>
      </c>
      <c r="AQ31" s="1"/>
      <c r="AR31" s="1"/>
      <c r="AS31" s="1"/>
      <c r="AT31" s="1"/>
      <c r="AU31" s="1"/>
      <c r="AV31" s="1">
        <f>AU4/1.2</f>
        <v>1.7216666666666667</v>
      </c>
      <c r="AW31" s="1"/>
      <c r="AX31" s="1"/>
      <c r="AY31" s="1"/>
      <c r="AZ31" s="1"/>
      <c r="BA31" s="1"/>
      <c r="BB31" s="1"/>
      <c r="BC31" s="1"/>
      <c r="BD31" s="1"/>
      <c r="BE31" s="1"/>
      <c r="BF31" s="1"/>
      <c r="BG31" s="1"/>
      <c r="BH31" s="1"/>
      <c r="BI31" s="1"/>
      <c r="BJ31" s="1"/>
      <c r="BK31" s="1"/>
      <c r="BL31" s="1"/>
      <c r="BM31" s="1"/>
      <c r="BN31" s="1"/>
      <c r="BO31" s="1"/>
      <c r="BP31" s="1"/>
      <c r="BQ31" s="1"/>
      <c r="BR31" s="1"/>
      <c r="BS31" s="1"/>
    </row>
    <row r="32" spans="1:71" x14ac:dyDescent="0.25">
      <c r="A32" s="1"/>
      <c r="B32" s="16">
        <v>25</v>
      </c>
      <c r="C32" s="7">
        <f>C31/B46</f>
        <v>5.636685298196948</v>
      </c>
      <c r="D32" s="6">
        <f t="shared" ref="D32:D35" si="16">C32*E32</f>
        <v>0.5189238557558945</v>
      </c>
      <c r="E32" s="21">
        <v>9.2061881815876226E-2</v>
      </c>
      <c r="F32" s="8"/>
      <c r="G32" s="8"/>
      <c r="H32" s="8"/>
      <c r="I32" s="8"/>
      <c r="J32" s="8"/>
      <c r="K32" s="1"/>
      <c r="L32" s="1"/>
      <c r="M32" s="1"/>
      <c r="N32" s="1"/>
      <c r="O32" s="1"/>
      <c r="P32" s="1"/>
      <c r="Q32" s="1"/>
      <c r="R32" s="1"/>
      <c r="S32" s="1"/>
      <c r="T32" s="1"/>
      <c r="U32" s="1"/>
      <c r="V32" s="1" t="s">
        <v>37</v>
      </c>
      <c r="W32" s="1"/>
      <c r="X32" s="1"/>
      <c r="Y32" s="1"/>
      <c r="Z32" s="1"/>
      <c r="AA32" s="1"/>
      <c r="AB32" s="1"/>
      <c r="AC32" s="1">
        <f>AC5/AC4</f>
        <v>1.7529783612934595</v>
      </c>
      <c r="AD32" s="1">
        <f>AC5/AC7</f>
        <v>0.35456214771226274</v>
      </c>
      <c r="AE32" s="1"/>
      <c r="AF32" s="1"/>
      <c r="AG32" s="1"/>
      <c r="AH32" s="1"/>
      <c r="AI32" s="1">
        <f>AI5/AI4</f>
        <v>2.1917732073374099</v>
      </c>
      <c r="AJ32" s="1">
        <f>AI5/AI7</f>
        <v>0.26429385347543405</v>
      </c>
      <c r="AK32" s="1"/>
      <c r="AL32" s="1"/>
      <c r="AM32" s="1"/>
      <c r="AN32" s="1"/>
      <c r="AO32" s="1">
        <f>AO5/AO4</f>
        <v>1.88509784244857</v>
      </c>
      <c r="AP32" s="1">
        <f>AO5/AO7</f>
        <v>0.21067281844006788</v>
      </c>
      <c r="AQ32" s="1"/>
      <c r="AR32" s="1"/>
      <c r="AS32" s="1"/>
      <c r="AT32" s="1"/>
      <c r="AU32" s="1">
        <f>AU5/AU4</f>
        <v>1.8063891577928366</v>
      </c>
      <c r="AV32" s="1">
        <f>AU5/AU7</f>
        <v>0.2082649719746332</v>
      </c>
      <c r="AW32" s="1"/>
      <c r="AX32" s="1"/>
      <c r="AY32" s="1"/>
      <c r="AZ32" s="1"/>
      <c r="BA32" s="1"/>
      <c r="BB32" s="1"/>
      <c r="BC32" s="1"/>
      <c r="BD32" s="1"/>
      <c r="BE32" s="1"/>
      <c r="BF32" s="1"/>
      <c r="BG32" s="1"/>
      <c r="BH32" s="1"/>
      <c r="BI32" s="1"/>
      <c r="BJ32" s="1"/>
      <c r="BK32" s="1"/>
      <c r="BL32" s="1"/>
      <c r="BM32" s="1"/>
      <c r="BN32" s="1"/>
      <c r="BO32" s="1"/>
      <c r="BP32" s="1"/>
      <c r="BQ32" s="1"/>
      <c r="BR32" s="1"/>
      <c r="BS32" s="1"/>
    </row>
    <row r="33" spans="1:72" x14ac:dyDescent="0.25">
      <c r="A33" s="1"/>
      <c r="B33" s="16">
        <v>50</v>
      </c>
      <c r="C33" s="7">
        <f>C32/B47</f>
        <v>5.4351198335644924</v>
      </c>
      <c r="D33" s="6">
        <f t="shared" si="16"/>
        <v>0.21443134535367536</v>
      </c>
      <c r="E33" s="21">
        <v>3.9452919516044183E-2</v>
      </c>
      <c r="F33" s="8"/>
      <c r="G33" s="8"/>
      <c r="H33" s="8"/>
      <c r="I33" s="8"/>
      <c r="J33" s="8"/>
      <c r="K33" s="1"/>
      <c r="L33" s="1"/>
      <c r="M33" s="1"/>
      <c r="N33" s="1"/>
      <c r="O33" s="1"/>
      <c r="P33" s="1"/>
      <c r="Q33" s="1"/>
      <c r="R33" s="1"/>
      <c r="S33" s="1"/>
      <c r="T33" s="1"/>
      <c r="V33" s="1">
        <f>U4/1.2</f>
        <v>1.6075000000000002</v>
      </c>
      <c r="W33" s="1" t="s">
        <v>94</v>
      </c>
      <c r="X33" s="1"/>
      <c r="Y33" s="1"/>
      <c r="Z33" s="1"/>
      <c r="AA33" s="1"/>
      <c r="AB33" s="1"/>
      <c r="AC33" s="1">
        <f>AC6/AC4</f>
        <v>2.505956722586919</v>
      </c>
      <c r="AD33" s="1">
        <f>AC6/AC7</f>
        <v>0.50686158896952727</v>
      </c>
      <c r="AE33" s="1"/>
      <c r="AF33" s="1"/>
      <c r="AG33" s="1"/>
      <c r="AH33" s="1"/>
      <c r="AI33" s="1">
        <f>AI6/AI4</f>
        <v>3.1332325170633397</v>
      </c>
      <c r="AJ33" s="1">
        <f>AI6/AI7</f>
        <v>0.37781924379629656</v>
      </c>
      <c r="AK33" s="1"/>
      <c r="AL33" s="1"/>
      <c r="AM33" s="1"/>
      <c r="AN33" s="1"/>
      <c r="AO33" s="1">
        <f>AO6/AO4</f>
        <v>2.6948271098637178</v>
      </c>
      <c r="AP33" s="1">
        <f>AO6/AO7</f>
        <v>0.30116570591702901</v>
      </c>
      <c r="AQ33" s="1"/>
      <c r="AR33" s="1"/>
      <c r="AS33" s="1"/>
      <c r="AT33" s="1"/>
      <c r="AU33" s="1">
        <f>AU6/AU4</f>
        <v>2.5823097155854038</v>
      </c>
      <c r="AV33" s="1">
        <f>AU6/AU7</f>
        <v>0.29772358753710731</v>
      </c>
      <c r="AW33" s="1"/>
      <c r="AX33" s="1"/>
      <c r="AY33" s="1"/>
      <c r="AZ33" s="1"/>
      <c r="BA33" s="1"/>
      <c r="BB33" s="1"/>
      <c r="BC33" s="1"/>
      <c r="BD33" s="1"/>
      <c r="BE33" s="1"/>
      <c r="BF33" s="1"/>
      <c r="BG33" s="1"/>
      <c r="BH33" s="1"/>
      <c r="BI33" s="1"/>
      <c r="BJ33" s="1"/>
      <c r="BK33" s="1"/>
      <c r="BL33" s="1"/>
      <c r="BM33" s="1"/>
      <c r="BN33" s="1"/>
      <c r="BO33" s="1"/>
      <c r="BP33" s="1"/>
      <c r="BQ33" s="1"/>
      <c r="BR33" s="1"/>
      <c r="BS33" s="1"/>
    </row>
    <row r="34" spans="1:72" x14ac:dyDescent="0.25">
      <c r="A34" s="1"/>
      <c r="B34" s="16">
        <v>75</v>
      </c>
      <c r="C34" s="7">
        <f>C33/B48</f>
        <v>5.3707904299583902</v>
      </c>
      <c r="D34" s="6">
        <f t="shared" si="16"/>
        <v>0.12437018030513172</v>
      </c>
      <c r="E34" s="21">
        <v>2.3156774021825921E-2</v>
      </c>
      <c r="F34" s="8"/>
      <c r="G34" s="8"/>
      <c r="H34" s="8"/>
      <c r="I34" s="8"/>
      <c r="J34" s="8"/>
      <c r="K34" s="1"/>
      <c r="L34" s="1"/>
      <c r="M34" s="1"/>
      <c r="N34" s="1"/>
      <c r="O34" s="1"/>
      <c r="P34" s="1"/>
      <c r="Q34" s="1"/>
      <c r="R34" s="1"/>
      <c r="S34" s="1"/>
      <c r="T34" s="1"/>
      <c r="U34" s="1">
        <f>U5/U4</f>
        <v>1.9709694142042509</v>
      </c>
      <c r="V34" s="1">
        <f>U5/U7</f>
        <v>0.21410285722008671</v>
      </c>
      <c r="W34" s="1" t="s">
        <v>96</v>
      </c>
      <c r="X34" s="1"/>
      <c r="Y34" s="1"/>
      <c r="Z34" s="1"/>
      <c r="AA34" s="1"/>
      <c r="AB34" s="1"/>
      <c r="AC34" s="1">
        <f>AC7/AC4</f>
        <v>4.9440651592511546</v>
      </c>
      <c r="AD34" s="1">
        <f>AC8/AC7</f>
        <v>1.2068843084857883</v>
      </c>
      <c r="AE34" s="1"/>
      <c r="AF34" s="1"/>
      <c r="AG34" s="1"/>
      <c r="AH34" s="1"/>
      <c r="AI34" s="1">
        <f>AI7/AI4</f>
        <v>8.2929405225125059</v>
      </c>
      <c r="AJ34" s="1">
        <f>AI8/AI7</f>
        <v>1.1026795391858626</v>
      </c>
      <c r="AK34" s="1"/>
      <c r="AL34" s="1"/>
      <c r="AM34" s="1"/>
      <c r="AN34" s="1"/>
      <c r="AO34" s="1">
        <f>AO7/AO4</f>
        <v>8.947987957852483</v>
      </c>
      <c r="AP34" s="1">
        <f>AO8/AO7</f>
        <v>0.90603402966661706</v>
      </c>
      <c r="AQ34" s="1"/>
      <c r="AR34" s="1"/>
      <c r="AS34" s="1"/>
      <c r="AT34" s="1"/>
      <c r="AU34" s="1">
        <f>AU7/AU4</f>
        <v>8.6735140367860613</v>
      </c>
      <c r="AV34" s="1">
        <f>AU8/AU7</f>
        <v>0.9008265958045707</v>
      </c>
      <c r="AW34" s="1"/>
      <c r="AX34" s="1"/>
      <c r="AY34" s="1"/>
      <c r="AZ34" s="1"/>
      <c r="BA34" s="1"/>
      <c r="BB34" s="1"/>
      <c r="BC34" s="1"/>
      <c r="BD34" s="1"/>
      <c r="BE34" s="1"/>
      <c r="BF34" s="1"/>
      <c r="BG34" s="1"/>
      <c r="BH34" s="1"/>
      <c r="BI34" s="1"/>
      <c r="BJ34" s="1"/>
      <c r="BK34" s="1"/>
      <c r="BL34" s="1"/>
      <c r="BM34" s="1"/>
      <c r="BN34" s="1"/>
      <c r="BO34" s="1"/>
      <c r="BP34" s="1"/>
      <c r="BQ34" s="1"/>
      <c r="BR34" s="1"/>
      <c r="BS34" s="1"/>
    </row>
    <row r="35" spans="1:72" x14ac:dyDescent="0.25">
      <c r="A35" s="1"/>
      <c r="B35" s="16">
        <v>100</v>
      </c>
      <c r="C35" s="7">
        <f>C34/B49</f>
        <v>5.3350518723994442</v>
      </c>
      <c r="D35" s="6">
        <f t="shared" si="16"/>
        <v>8.8631622746185829E-2</v>
      </c>
      <c r="E35" s="21">
        <v>1.6613076098606645E-2</v>
      </c>
      <c r="F35" s="8"/>
      <c r="G35" s="8"/>
      <c r="H35" s="8"/>
      <c r="I35" s="8"/>
      <c r="J35" s="8"/>
      <c r="K35" s="1"/>
      <c r="L35" s="1"/>
      <c r="M35" s="1"/>
      <c r="N35" s="1"/>
      <c r="O35" s="1"/>
      <c r="P35" s="1"/>
      <c r="Q35" s="1"/>
      <c r="R35" s="1"/>
      <c r="S35" s="1"/>
      <c r="T35" s="1"/>
      <c r="U35" s="1">
        <f>U6/U4</f>
        <v>2.8175841542584199</v>
      </c>
      <c r="V35" s="1">
        <f>U6/U7</f>
        <v>0.30606909145179378</v>
      </c>
      <c r="W35" s="1" t="s">
        <v>97</v>
      </c>
      <c r="X35" s="1"/>
      <c r="Y35" s="1"/>
      <c r="Z35" s="1"/>
      <c r="AA35" s="1"/>
      <c r="AB35" s="1"/>
      <c r="AC35" s="1">
        <f>AC8/AC4</f>
        <v>5.9669146608315087</v>
      </c>
      <c r="AD35" s="1"/>
      <c r="AE35" s="1"/>
      <c r="AF35" s="1"/>
      <c r="AG35" s="1"/>
      <c r="AH35" s="1"/>
      <c r="AI35" s="1">
        <f>AI8/AI4</f>
        <v>9.1444558338598583</v>
      </c>
      <c r="AJ35" s="1"/>
      <c r="AK35" s="1"/>
      <c r="AL35" s="1"/>
      <c r="AM35" s="1"/>
      <c r="AN35" s="1"/>
      <c r="AO35" s="1">
        <f>AO8/AO4</f>
        <v>8.107181586861449</v>
      </c>
      <c r="AP35" s="1"/>
      <c r="AQ35" s="1"/>
      <c r="AR35" s="1"/>
      <c r="AS35" s="1"/>
      <c r="AT35" s="1"/>
      <c r="AU35" s="1">
        <f>AU8/AU4</f>
        <v>7.813332123421147</v>
      </c>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2" x14ac:dyDescent="0.25">
      <c r="A36" s="1"/>
      <c r="B36" s="1"/>
      <c r="C36" s="1"/>
      <c r="D36" s="1"/>
      <c r="E36" s="1"/>
      <c r="F36" s="1"/>
      <c r="G36" s="1"/>
      <c r="H36" s="1"/>
      <c r="I36" s="1"/>
      <c r="J36" s="1"/>
      <c r="K36" s="1"/>
      <c r="L36" s="1"/>
      <c r="M36" s="1"/>
      <c r="N36" s="1"/>
      <c r="O36" s="1"/>
      <c r="P36" s="1"/>
      <c r="Q36" s="1"/>
      <c r="R36" s="1"/>
      <c r="S36" s="1"/>
      <c r="T36" s="1"/>
      <c r="U36" s="1">
        <f>U7/U4</f>
        <v>9.2057128045619478</v>
      </c>
      <c r="V36" s="1">
        <f>U8/U7</f>
        <v>0.91340976014951591</v>
      </c>
      <c r="W36" s="1" t="s">
        <v>98</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x14ac:dyDescent="0.25">
      <c r="A37" s="1"/>
      <c r="B37" s="1"/>
      <c r="C37" s="1"/>
      <c r="D37" s="1"/>
      <c r="E37" s="1"/>
      <c r="F37" s="1"/>
      <c r="G37" s="1"/>
      <c r="H37" s="1"/>
      <c r="I37" s="1"/>
      <c r="J37" s="1"/>
      <c r="K37" s="1"/>
      <c r="L37" s="1"/>
      <c r="M37" s="1"/>
      <c r="N37" s="1"/>
      <c r="O37" s="1"/>
      <c r="P37" s="1"/>
      <c r="Q37" s="1"/>
      <c r="R37" s="1"/>
      <c r="S37" s="1"/>
      <c r="T37" s="1"/>
      <c r="U37" s="1">
        <f>U8/U4</f>
        <v>8.4085879248202566</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x14ac:dyDescent="0.25">
      <c r="A40" s="1"/>
      <c r="B40" s="1"/>
      <c r="C40" s="26"/>
      <c r="D40" s="26"/>
      <c r="E40" s="26"/>
      <c r="F40" s="26"/>
      <c r="G40" s="26"/>
      <c r="H40" s="26"/>
      <c r="I40" s="26"/>
      <c r="J40" s="26"/>
      <c r="K40" s="26"/>
      <c r="L40" s="26"/>
      <c r="M40" s="26"/>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x14ac:dyDescent="0.25">
      <c r="B41" s="26"/>
      <c r="C41" s="26"/>
      <c r="D41" s="26"/>
      <c r="E41" s="26"/>
      <c r="F41" s="26"/>
      <c r="G41" s="26"/>
      <c r="H41" s="26"/>
      <c r="I41" s="26"/>
      <c r="J41" s="26"/>
      <c r="K41" s="26"/>
      <c r="L41" s="26"/>
      <c r="M41" s="26"/>
      <c r="R41" s="1"/>
      <c r="S41" s="1"/>
      <c r="T41" s="1"/>
      <c r="Y41" s="1"/>
      <c r="Z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x14ac:dyDescent="0.25">
      <c r="B42" s="26"/>
      <c r="C42" s="26"/>
      <c r="D42" s="26"/>
      <c r="E42" s="26"/>
      <c r="F42" s="26"/>
      <c r="G42" s="26"/>
      <c r="H42" s="26"/>
      <c r="I42" s="26"/>
      <c r="J42" s="26"/>
      <c r="K42" s="26"/>
      <c r="L42" s="26"/>
      <c r="M42" s="26"/>
      <c r="R42" s="1"/>
      <c r="S42" s="1"/>
      <c r="T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x14ac:dyDescent="0.25">
      <c r="B43" s="26"/>
      <c r="C43" s="26"/>
      <c r="D43" s="26"/>
      <c r="E43" s="26"/>
      <c r="F43" s="26"/>
      <c r="G43" s="26"/>
      <c r="H43" s="26"/>
      <c r="I43" s="26"/>
      <c r="J43" s="26"/>
      <c r="K43" s="26"/>
      <c r="L43" s="26"/>
      <c r="M43" s="26"/>
      <c r="R43" s="1"/>
      <c r="S43" s="1"/>
      <c r="T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x14ac:dyDescent="0.25">
      <c r="B44" s="26" t="s">
        <v>9</v>
      </c>
      <c r="C44" s="26"/>
      <c r="D44" s="26"/>
      <c r="E44" s="26"/>
      <c r="F44" s="26" t="s">
        <v>10</v>
      </c>
      <c r="G44" s="26"/>
      <c r="H44" s="26" t="s">
        <v>11</v>
      </c>
      <c r="I44" s="26"/>
      <c r="J44" s="26"/>
      <c r="K44" s="26">
        <f>B45/3.68</f>
        <v>0.84157608695652153</v>
      </c>
      <c r="L44" s="26" t="s">
        <v>19</v>
      </c>
      <c r="M44" s="26"/>
      <c r="R44" s="1"/>
      <c r="S44" s="1"/>
      <c r="T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x14ac:dyDescent="0.25">
      <c r="A45" s="1"/>
      <c r="B45" s="27">
        <f>C23-C15</f>
        <v>3.0969999999999995</v>
      </c>
      <c r="C45" s="26" t="s">
        <v>88</v>
      </c>
      <c r="D45" s="26"/>
      <c r="E45" s="26"/>
      <c r="F45" s="26"/>
      <c r="G45" s="26"/>
      <c r="H45" s="26"/>
      <c r="I45" s="26"/>
      <c r="J45" s="26"/>
      <c r="K45" s="26"/>
      <c r="L45" s="26" t="s">
        <v>19</v>
      </c>
      <c r="M45" s="26"/>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row>
    <row r="46" spans="1:72" x14ac:dyDescent="0.25">
      <c r="A46" s="1"/>
      <c r="B46" s="26">
        <f>C23/C24</f>
        <v>1.8285569363428862</v>
      </c>
      <c r="C46" s="59" t="s">
        <v>89</v>
      </c>
      <c r="D46" s="26"/>
      <c r="E46" s="26"/>
      <c r="F46" s="26">
        <f>L15/L16</f>
        <v>1.1551042295059992</v>
      </c>
      <c r="G46" s="26"/>
      <c r="H46" s="26">
        <f>(F46+B46)/2</f>
        <v>1.4918305829244427</v>
      </c>
      <c r="I46" s="59" t="s">
        <v>89</v>
      </c>
      <c r="J46" s="26"/>
      <c r="K46" s="26"/>
      <c r="L46" s="26"/>
      <c r="M46" s="26"/>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x14ac:dyDescent="0.25">
      <c r="A47" s="1"/>
      <c r="B47" s="26">
        <f>C24/C25</f>
        <v>1.0370857443450816</v>
      </c>
      <c r="C47" s="59" t="s">
        <v>90</v>
      </c>
      <c r="D47" s="26"/>
      <c r="E47" s="26"/>
      <c r="F47" s="26">
        <f>L16/L17</f>
        <v>0.9913615522626088</v>
      </c>
      <c r="G47" s="26"/>
      <c r="H47" s="26">
        <f t="shared" ref="H47:H49" si="17">(F47+B47)/2</f>
        <v>1.0142236483038451</v>
      </c>
      <c r="I47" s="59" t="s">
        <v>90</v>
      </c>
      <c r="J47" s="26"/>
      <c r="K47" s="26"/>
      <c r="L47" s="26"/>
      <c r="M47" s="26"/>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x14ac:dyDescent="0.25">
      <c r="A48" s="1"/>
      <c r="B48" s="26">
        <f>C25/C26</f>
        <v>1.0119776417354271</v>
      </c>
      <c r="C48" s="59" t="s">
        <v>91</v>
      </c>
      <c r="D48" s="26"/>
      <c r="E48" s="26"/>
      <c r="F48" s="26">
        <f>L17/L18</f>
        <v>0.99576523522794946</v>
      </c>
      <c r="G48" s="26"/>
      <c r="H48" s="26">
        <f t="shared" si="17"/>
        <v>1.0038714384816882</v>
      </c>
      <c r="I48" s="59" t="s">
        <v>91</v>
      </c>
      <c r="J48" s="26"/>
      <c r="K48" s="26"/>
      <c r="L48" s="26"/>
      <c r="M48" s="26"/>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x14ac:dyDescent="0.25">
      <c r="A49" s="1"/>
      <c r="B49" s="26">
        <f>C26/C27</f>
        <v>1.0066988210075027</v>
      </c>
      <c r="C49" s="59" t="s">
        <v>92</v>
      </c>
      <c r="D49" s="26"/>
      <c r="E49" s="26"/>
      <c r="F49" s="26">
        <f>L18/L19</f>
        <v>0.99519294086658761</v>
      </c>
      <c r="G49" s="26"/>
      <c r="H49" s="26">
        <f t="shared" si="17"/>
        <v>1.0009458809370453</v>
      </c>
      <c r="I49" s="59" t="s">
        <v>92</v>
      </c>
      <c r="J49" s="26"/>
      <c r="K49" s="26"/>
      <c r="L49" s="26"/>
      <c r="M49" s="26"/>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x14ac:dyDescent="0.25">
      <c r="A50" s="1"/>
      <c r="B50" s="26"/>
      <c r="C50" s="26"/>
      <c r="D50" s="26"/>
      <c r="E50" s="26"/>
      <c r="F50" s="26"/>
      <c r="G50" s="26"/>
      <c r="H50" s="26"/>
      <c r="I50" s="26"/>
      <c r="J50" s="26"/>
      <c r="K50" s="26"/>
      <c r="L50" s="26"/>
      <c r="M50" s="26"/>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x14ac:dyDescent="0.25">
      <c r="A51" s="1"/>
      <c r="B51" s="26"/>
      <c r="C51" s="26"/>
      <c r="D51" s="26"/>
      <c r="E51" s="26"/>
      <c r="F51" s="26"/>
      <c r="G51" s="23"/>
      <c r="H51" s="23"/>
      <c r="I51" s="23"/>
      <c r="J51" s="23"/>
      <c r="K51" s="23"/>
      <c r="L51" s="23"/>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7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x14ac:dyDescent="0.25">
      <c r="BN57" s="1"/>
      <c r="BO57" s="1"/>
      <c r="BP57" s="1"/>
      <c r="BQ57" s="1"/>
      <c r="BR57" s="1"/>
      <c r="BS57" s="1"/>
      <c r="BT57" s="1"/>
    </row>
  </sheetData>
  <mergeCells count="3">
    <mergeCell ref="X3:X8"/>
    <mergeCell ref="K21:N21"/>
    <mergeCell ref="O22:O27"/>
  </mergeCells>
  <pageMargins left="0.7" right="0.7" top="0.75" bottom="0.75" header="0.3" footer="0.3"/>
  <pageSetup paperSize="9" orientation="portrait" r:id="rId1"/>
  <headerFooter>
    <oddFooter>&amp;C&amp;1#&amp;"Calibri"&amp;12&amp;K008000Internal Use</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15918-E92D-4EF8-BAB3-BACB919A870E}">
  <sheetPr>
    <tabColor theme="8" tint="-0.249977111117893"/>
  </sheetPr>
  <dimension ref="A1:AT87"/>
  <sheetViews>
    <sheetView topLeftCell="W1" zoomScaleNormal="100" workbookViewId="0">
      <selection activeCell="BJ24" sqref="BJ24"/>
    </sheetView>
  </sheetViews>
  <sheetFormatPr defaultRowHeight="15" x14ac:dyDescent="0.25"/>
  <cols>
    <col min="3" max="3" width="58.28515625" customWidth="1"/>
    <col min="9" max="9" width="22.140625" customWidth="1"/>
    <col min="10" max="10" width="24.140625" customWidth="1"/>
    <col min="18" max="18" width="22.140625" customWidth="1"/>
    <col min="19" max="19" width="24.140625" customWidth="1"/>
    <col min="20" max="20" width="25.42578125" customWidth="1"/>
    <col min="27" max="27" width="22.140625" customWidth="1"/>
    <col min="28" max="28" width="24.140625" customWidth="1"/>
    <col min="36" max="36" width="22.140625" customWidth="1"/>
    <col min="37" max="37" width="24.140625" customWidth="1"/>
    <col min="38" max="38" width="18.7109375" customWidth="1"/>
    <col min="39" max="39" width="22.7109375" customWidth="1"/>
    <col min="42" max="42" width="51.140625" customWidth="1"/>
    <col min="43" max="43" width="14.42578125" customWidth="1"/>
    <col min="44" max="44" width="15" customWidth="1"/>
  </cols>
  <sheetData>
    <row r="1" spans="1:46" x14ac:dyDescent="0.25">
      <c r="A1" s="1"/>
      <c r="B1" s="1"/>
      <c r="C1" s="1"/>
      <c r="D1" s="489" t="s">
        <v>118</v>
      </c>
      <c r="E1" s="491"/>
      <c r="F1" s="1"/>
      <c r="G1" s="484" t="s">
        <v>119</v>
      </c>
      <c r="H1" s="485"/>
      <c r="I1" s="169" t="s">
        <v>113</v>
      </c>
      <c r="J1" s="87"/>
      <c r="K1" s="1"/>
      <c r="L1" s="1"/>
      <c r="M1" s="489" t="s">
        <v>118</v>
      </c>
      <c r="N1" s="491"/>
      <c r="O1" s="1"/>
      <c r="P1" s="484" t="s">
        <v>119</v>
      </c>
      <c r="Q1" s="485"/>
      <c r="R1" s="70" t="s">
        <v>113</v>
      </c>
      <c r="S1" s="71"/>
      <c r="T1" s="1"/>
      <c r="U1" s="1"/>
      <c r="V1" s="489" t="s">
        <v>118</v>
      </c>
      <c r="W1" s="491"/>
      <c r="X1" s="1"/>
      <c r="Y1" s="484" t="s">
        <v>119</v>
      </c>
      <c r="Z1" s="485"/>
      <c r="AA1" s="70" t="s">
        <v>113</v>
      </c>
      <c r="AB1" s="71"/>
      <c r="AC1" s="1"/>
      <c r="AD1" s="1"/>
      <c r="AE1" s="489" t="s">
        <v>118</v>
      </c>
      <c r="AF1" s="490"/>
      <c r="AG1" s="491"/>
      <c r="AH1" s="484" t="s">
        <v>119</v>
      </c>
      <c r="AI1" s="485"/>
      <c r="AJ1" s="70" t="s">
        <v>114</v>
      </c>
      <c r="AK1" s="71"/>
      <c r="AL1" s="1"/>
      <c r="AM1" s="1"/>
      <c r="AN1" s="1"/>
      <c r="AO1" s="1"/>
      <c r="AP1" s="1"/>
      <c r="AQ1" s="1"/>
      <c r="AR1" s="1"/>
      <c r="AS1" s="1"/>
      <c r="AT1" s="1"/>
    </row>
    <row r="2" spans="1:46" ht="15.75" thickBot="1" x14ac:dyDescent="0.3">
      <c r="A2" s="1"/>
      <c r="B2" s="1"/>
      <c r="C2" s="1"/>
      <c r="D2" s="486" t="s">
        <v>107</v>
      </c>
      <c r="E2" s="488"/>
      <c r="F2" s="1"/>
      <c r="G2" s="88" t="s">
        <v>121</v>
      </c>
      <c r="H2" s="89">
        <v>1.23</v>
      </c>
      <c r="I2" s="89" t="s">
        <v>104</v>
      </c>
      <c r="J2" s="68" t="s">
        <v>105</v>
      </c>
      <c r="K2" s="1"/>
      <c r="L2" s="1"/>
      <c r="M2" s="486" t="s">
        <v>215</v>
      </c>
      <c r="N2" s="488"/>
      <c r="O2" s="1"/>
      <c r="P2" s="88" t="s">
        <v>121</v>
      </c>
      <c r="Q2" s="72">
        <v>2.1</v>
      </c>
      <c r="R2" s="72" t="s">
        <v>104</v>
      </c>
      <c r="S2" s="67" t="s">
        <v>105</v>
      </c>
      <c r="T2" s="1"/>
      <c r="U2" s="1"/>
      <c r="V2" s="492" t="s">
        <v>112</v>
      </c>
      <c r="W2" s="493"/>
      <c r="X2" s="1"/>
      <c r="Y2" s="88" t="s">
        <v>121</v>
      </c>
      <c r="Z2" s="72">
        <v>3.5</v>
      </c>
      <c r="AA2" s="72" t="s">
        <v>104</v>
      </c>
      <c r="AB2" s="67" t="s">
        <v>105</v>
      </c>
      <c r="AC2" s="1"/>
      <c r="AD2" s="1"/>
      <c r="AE2" s="486" t="s">
        <v>217</v>
      </c>
      <c r="AF2" s="487"/>
      <c r="AG2" s="488"/>
      <c r="AH2" s="89" t="s">
        <v>121</v>
      </c>
      <c r="AI2" s="72">
        <v>3.45</v>
      </c>
      <c r="AJ2" s="72" t="s">
        <v>104</v>
      </c>
      <c r="AK2" s="67" t="s">
        <v>105</v>
      </c>
      <c r="AL2" s="1"/>
      <c r="AM2" s="1"/>
      <c r="AN2" s="1"/>
      <c r="AO2" s="1"/>
      <c r="AP2" s="1"/>
      <c r="AQ2" s="1"/>
      <c r="AR2" s="1"/>
      <c r="AS2" s="1"/>
      <c r="AT2" s="1"/>
    </row>
    <row r="3" spans="1:46" x14ac:dyDescent="0.25">
      <c r="A3" s="1"/>
      <c r="B3" s="1"/>
      <c r="C3" s="1"/>
      <c r="D3" s="1"/>
      <c r="E3" s="1"/>
      <c r="F3" s="1"/>
      <c r="G3" s="1"/>
      <c r="H3" s="1"/>
      <c r="I3" s="1"/>
      <c r="J3" s="1"/>
      <c r="K3" s="1"/>
      <c r="L3" s="1"/>
      <c r="M3" s="1">
        <v>1.6950000000000001</v>
      </c>
      <c r="N3" s="1"/>
      <c r="O3" s="1"/>
      <c r="P3" s="1"/>
      <c r="Q3" s="1"/>
      <c r="R3" s="1"/>
      <c r="S3" s="1"/>
      <c r="T3" s="1"/>
      <c r="U3" s="1"/>
      <c r="V3" s="1">
        <v>2.82</v>
      </c>
      <c r="W3" s="1"/>
      <c r="X3" s="1"/>
      <c r="Y3" s="1"/>
      <c r="Z3" s="1"/>
      <c r="AA3" s="1"/>
      <c r="AB3" s="1"/>
      <c r="AC3" s="1"/>
      <c r="AD3" s="1"/>
      <c r="AE3" s="1">
        <v>2.85</v>
      </c>
      <c r="AF3" s="1"/>
      <c r="AG3" s="1"/>
      <c r="AH3" s="1"/>
      <c r="AI3" s="1"/>
      <c r="AJ3" s="1"/>
      <c r="AK3" s="1"/>
      <c r="AL3" s="1"/>
      <c r="AM3" s="1"/>
      <c r="AN3" s="1"/>
      <c r="AO3" s="1"/>
      <c r="AP3" s="1"/>
      <c r="AQ3" s="1"/>
      <c r="AR3" s="1"/>
      <c r="AS3" s="1"/>
      <c r="AT3" s="1"/>
    </row>
    <row r="4" spans="1:46" x14ac:dyDescent="0.25">
      <c r="A4" s="1"/>
      <c r="B4" s="1"/>
      <c r="C4" s="1"/>
      <c r="D4" s="85" t="s">
        <v>99</v>
      </c>
      <c r="E4" s="85" t="s">
        <v>100</v>
      </c>
      <c r="F4" s="85" t="s">
        <v>102</v>
      </c>
      <c r="G4" s="85" t="s">
        <v>8</v>
      </c>
      <c r="H4" s="85" t="s">
        <v>101</v>
      </c>
      <c r="I4" s="85" t="s">
        <v>115</v>
      </c>
      <c r="J4" s="85" t="s">
        <v>116</v>
      </c>
      <c r="K4" s="1"/>
      <c r="L4" s="1"/>
      <c r="M4" s="85" t="s">
        <v>99</v>
      </c>
      <c r="N4" s="85" t="s">
        <v>100</v>
      </c>
      <c r="O4" s="85" t="s">
        <v>102</v>
      </c>
      <c r="P4" s="85" t="s">
        <v>8</v>
      </c>
      <c r="Q4" s="184" t="s">
        <v>101</v>
      </c>
      <c r="R4" s="85" t="s">
        <v>115</v>
      </c>
      <c r="S4" s="85" t="s">
        <v>116</v>
      </c>
      <c r="T4" s="1"/>
      <c r="U4" s="1"/>
      <c r="V4" s="63" t="s">
        <v>99</v>
      </c>
      <c r="W4" s="63" t="s">
        <v>100</v>
      </c>
      <c r="X4" s="63" t="s">
        <v>102</v>
      </c>
      <c r="Y4" s="63" t="s">
        <v>8</v>
      </c>
      <c r="Z4" s="63" t="s">
        <v>101</v>
      </c>
      <c r="AA4" s="63" t="s">
        <v>115</v>
      </c>
      <c r="AB4" s="63" t="s">
        <v>116</v>
      </c>
      <c r="AC4" s="1"/>
      <c r="AD4" s="1"/>
      <c r="AE4" s="85" t="s">
        <v>99</v>
      </c>
      <c r="AF4" s="85" t="s">
        <v>100</v>
      </c>
      <c r="AG4" s="85" t="s">
        <v>102</v>
      </c>
      <c r="AH4" s="85" t="s">
        <v>8</v>
      </c>
      <c r="AI4" s="85" t="s">
        <v>101</v>
      </c>
      <c r="AJ4" s="85" t="s">
        <v>115</v>
      </c>
      <c r="AK4" s="85" t="s">
        <v>116</v>
      </c>
      <c r="AL4" s="1"/>
      <c r="AM4" s="1"/>
      <c r="AN4" s="1"/>
      <c r="AO4" s="1"/>
      <c r="AP4" s="1"/>
      <c r="AQ4" s="1"/>
      <c r="AR4" s="1"/>
      <c r="AS4" s="1"/>
      <c r="AT4" s="1"/>
    </row>
    <row r="5" spans="1:46" x14ac:dyDescent="0.25">
      <c r="A5" s="1"/>
      <c r="B5" s="1"/>
      <c r="C5" s="1"/>
      <c r="D5" s="81">
        <v>0</v>
      </c>
      <c r="E5" s="73">
        <v>0</v>
      </c>
      <c r="F5" s="77">
        <v>0.1</v>
      </c>
      <c r="G5" s="98">
        <f>F5*2.5</f>
        <v>0.25</v>
      </c>
      <c r="H5" s="60">
        <f t="shared" ref="H5:H28" si="0">$H$2</f>
        <v>1.23</v>
      </c>
      <c r="I5" s="92">
        <f>H5-G5</f>
        <v>0.98</v>
      </c>
      <c r="J5" s="90">
        <f>I5</f>
        <v>0.98</v>
      </c>
      <c r="K5" s="1"/>
      <c r="L5" s="1"/>
      <c r="M5" s="81">
        <v>0</v>
      </c>
      <c r="N5" s="73">
        <v>0</v>
      </c>
      <c r="O5" s="77">
        <v>0.1</v>
      </c>
      <c r="P5" s="179">
        <f>O5*2.5*$M$3</f>
        <v>0.42375000000000002</v>
      </c>
      <c r="Q5" s="60">
        <f>$Q$2</f>
        <v>2.1</v>
      </c>
      <c r="R5" s="182">
        <f>Q5-P5</f>
        <v>1.67625</v>
      </c>
      <c r="S5" s="90">
        <f>R5</f>
        <v>1.67625</v>
      </c>
      <c r="T5" s="1"/>
      <c r="U5" s="1"/>
      <c r="V5" s="81">
        <v>0</v>
      </c>
      <c r="W5" s="73">
        <v>0</v>
      </c>
      <c r="X5" s="77">
        <v>0.1</v>
      </c>
      <c r="Y5" s="104">
        <f>X5*2.5*$V$3</f>
        <v>0.70499999999999996</v>
      </c>
      <c r="Z5" s="60">
        <f>$Z$2</f>
        <v>3.5</v>
      </c>
      <c r="AA5" s="92">
        <f>Z5-Y5</f>
        <v>2.7949999999999999</v>
      </c>
      <c r="AB5" s="90">
        <f>AA5</f>
        <v>2.7949999999999999</v>
      </c>
      <c r="AC5" s="1"/>
      <c r="AD5" s="1"/>
      <c r="AE5" s="81">
        <v>0</v>
      </c>
      <c r="AF5" s="73">
        <v>0</v>
      </c>
      <c r="AG5" s="77">
        <v>0.1</v>
      </c>
      <c r="AH5" s="98">
        <f>AG5*2.5*$AE$3</f>
        <v>0.71250000000000002</v>
      </c>
      <c r="AI5" s="61">
        <f t="shared" ref="AI5:AI28" si="1">$AI$2</f>
        <v>3.45</v>
      </c>
      <c r="AJ5" s="92">
        <f>AI5-AH5</f>
        <v>2.7375000000000003</v>
      </c>
      <c r="AK5" s="90">
        <f>AJ5</f>
        <v>2.7375000000000003</v>
      </c>
      <c r="AL5" s="60">
        <f>$AI$2</f>
        <v>3.45</v>
      </c>
      <c r="AM5" s="1"/>
      <c r="AN5" s="1"/>
      <c r="AO5" s="1"/>
      <c r="AP5" s="1"/>
      <c r="AQ5" s="1"/>
      <c r="AR5" s="1"/>
      <c r="AS5" s="1"/>
      <c r="AT5" s="1"/>
    </row>
    <row r="6" spans="1:46" x14ac:dyDescent="0.25">
      <c r="A6" s="1"/>
      <c r="B6" s="1"/>
      <c r="C6" s="1"/>
      <c r="D6" s="82">
        <v>1</v>
      </c>
      <c r="E6" s="74">
        <v>4.1666666666666699E-2</v>
      </c>
      <c r="F6" s="78">
        <v>0.2</v>
      </c>
      <c r="G6" s="99">
        <f t="shared" ref="G6:G28" si="2">F6*2.5</f>
        <v>0.5</v>
      </c>
      <c r="H6" s="61">
        <f t="shared" si="0"/>
        <v>1.23</v>
      </c>
      <c r="I6" s="93">
        <f t="shared" ref="I6:I28" si="3">H6-G6</f>
        <v>0.73</v>
      </c>
      <c r="J6" s="91">
        <f>SUM($I$5:I6)</f>
        <v>1.71</v>
      </c>
      <c r="K6" s="1"/>
      <c r="L6" s="1"/>
      <c r="M6" s="82">
        <v>1</v>
      </c>
      <c r="N6" s="74">
        <v>4.1666666666666699E-2</v>
      </c>
      <c r="O6" s="78">
        <v>0.2</v>
      </c>
      <c r="P6" s="180">
        <f t="shared" ref="P6:P28" si="4">O6*2.5*$M$3</f>
        <v>0.84750000000000003</v>
      </c>
      <c r="Q6" s="61">
        <f t="shared" ref="Q6:Q28" si="5">$Q$2</f>
        <v>2.1</v>
      </c>
      <c r="R6" s="183">
        <f t="shared" ref="R6:R28" si="6">Q6-P6</f>
        <v>1.2524999999999999</v>
      </c>
      <c r="S6" s="91">
        <f>SUM($R$5:R6)</f>
        <v>2.92875</v>
      </c>
      <c r="T6" s="1"/>
      <c r="U6" s="1"/>
      <c r="V6" s="82">
        <v>1</v>
      </c>
      <c r="W6" s="74">
        <v>4.1666666666666699E-2</v>
      </c>
      <c r="X6" s="78">
        <v>0.2</v>
      </c>
      <c r="Y6" s="103">
        <f t="shared" ref="Y6:Y28" si="7">X6*2.5*$V$3</f>
        <v>1.41</v>
      </c>
      <c r="Z6" s="61">
        <f t="shared" ref="Z6:Z27" si="8">$Z$2</f>
        <v>3.5</v>
      </c>
      <c r="AA6" s="93">
        <f t="shared" ref="AA6:AA28" si="9">Z6-Y6</f>
        <v>2.09</v>
      </c>
      <c r="AB6" s="91">
        <f>SUM($AA$5:AA6)</f>
        <v>4.8849999999999998</v>
      </c>
      <c r="AC6" s="1"/>
      <c r="AD6" s="1"/>
      <c r="AE6" s="82">
        <v>1</v>
      </c>
      <c r="AF6" s="74">
        <v>4.1666666666666699E-2</v>
      </c>
      <c r="AG6" s="78">
        <v>0.2</v>
      </c>
      <c r="AH6" s="99">
        <f t="shared" ref="AH6:AH28" si="10">AG6*2.5*$AE$3</f>
        <v>1.425</v>
      </c>
      <c r="AI6" s="61">
        <f t="shared" si="1"/>
        <v>3.45</v>
      </c>
      <c r="AJ6" s="93">
        <f t="shared" ref="AJ6:AJ28" si="11">AI6-AH6</f>
        <v>2.0250000000000004</v>
      </c>
      <c r="AK6" s="91">
        <f>SUM($AJ$5:AJ6)</f>
        <v>4.7625000000000011</v>
      </c>
      <c r="AL6" s="61">
        <f t="shared" ref="AL6:AL28" si="12">$AI$2</f>
        <v>3.45</v>
      </c>
      <c r="AM6" s="1"/>
      <c r="AN6" s="1"/>
      <c r="AO6" s="1"/>
      <c r="AP6" s="1"/>
      <c r="AQ6" s="1"/>
      <c r="AR6" s="1"/>
      <c r="AS6" s="1"/>
      <c r="AT6" s="1"/>
    </row>
    <row r="7" spans="1:46" x14ac:dyDescent="0.25">
      <c r="A7" s="1"/>
      <c r="B7" s="1"/>
      <c r="C7" s="1"/>
      <c r="D7" s="82">
        <v>2</v>
      </c>
      <c r="E7" s="74">
        <v>8.3333333333333301E-2</v>
      </c>
      <c r="F7" s="78">
        <v>0.15</v>
      </c>
      <c r="G7" s="99">
        <f t="shared" si="2"/>
        <v>0.375</v>
      </c>
      <c r="H7" s="61">
        <f t="shared" si="0"/>
        <v>1.23</v>
      </c>
      <c r="I7" s="93">
        <f t="shared" si="3"/>
        <v>0.85499999999999998</v>
      </c>
      <c r="J7" s="91">
        <f>SUM($I$5:I7)</f>
        <v>2.5649999999999999</v>
      </c>
      <c r="K7" s="1"/>
      <c r="L7" s="1"/>
      <c r="M7" s="82">
        <v>2</v>
      </c>
      <c r="N7" s="74">
        <v>8.3333333333333301E-2</v>
      </c>
      <c r="O7" s="78">
        <v>0.15</v>
      </c>
      <c r="P7" s="180">
        <f t="shared" si="4"/>
        <v>0.635625</v>
      </c>
      <c r="Q7" s="61">
        <f t="shared" si="5"/>
        <v>2.1</v>
      </c>
      <c r="R7" s="183">
        <f t="shared" si="6"/>
        <v>1.464375</v>
      </c>
      <c r="S7" s="91">
        <f>SUM($R$5:R7)</f>
        <v>4.3931249999999995</v>
      </c>
      <c r="T7" s="1"/>
      <c r="U7" s="1"/>
      <c r="V7" s="82">
        <v>2</v>
      </c>
      <c r="W7" s="74">
        <v>8.3333333333333301E-2</v>
      </c>
      <c r="X7" s="78">
        <v>0.15</v>
      </c>
      <c r="Y7" s="103">
        <f t="shared" si="7"/>
        <v>1.0574999999999999</v>
      </c>
      <c r="Z7" s="61">
        <f t="shared" si="8"/>
        <v>3.5</v>
      </c>
      <c r="AA7" s="93">
        <f t="shared" si="9"/>
        <v>2.4424999999999999</v>
      </c>
      <c r="AB7" s="91">
        <f>SUM($AA$5:AA7)</f>
        <v>7.3274999999999997</v>
      </c>
      <c r="AC7" s="1"/>
      <c r="AD7" s="1"/>
      <c r="AE7" s="82">
        <v>2</v>
      </c>
      <c r="AF7" s="74">
        <v>8.3333333333333301E-2</v>
      </c>
      <c r="AG7" s="78">
        <v>0.15</v>
      </c>
      <c r="AH7" s="99">
        <f t="shared" si="10"/>
        <v>1.0687500000000001</v>
      </c>
      <c r="AI7" s="61">
        <f t="shared" si="1"/>
        <v>3.45</v>
      </c>
      <c r="AJ7" s="93">
        <f t="shared" si="11"/>
        <v>2.3812500000000001</v>
      </c>
      <c r="AK7" s="91">
        <f>SUM($AJ$5:AJ7)</f>
        <v>7.1437500000000007</v>
      </c>
      <c r="AL7" s="61">
        <f t="shared" si="12"/>
        <v>3.45</v>
      </c>
      <c r="AM7" s="1"/>
      <c r="AN7" s="1"/>
      <c r="AO7" s="1"/>
      <c r="AP7" s="1"/>
      <c r="AQ7" s="1"/>
      <c r="AR7" s="1"/>
      <c r="AS7" s="1"/>
      <c r="AT7" s="1"/>
    </row>
    <row r="8" spans="1:46" x14ac:dyDescent="0.25">
      <c r="A8" s="1"/>
      <c r="B8" s="1"/>
      <c r="C8" s="1"/>
      <c r="D8" s="82">
        <v>3</v>
      </c>
      <c r="E8" s="74">
        <v>0.125</v>
      </c>
      <c r="F8" s="78">
        <v>0.15</v>
      </c>
      <c r="G8" s="99">
        <f t="shared" si="2"/>
        <v>0.375</v>
      </c>
      <c r="H8" s="61">
        <f t="shared" si="0"/>
        <v>1.23</v>
      </c>
      <c r="I8" s="93">
        <f t="shared" si="3"/>
        <v>0.85499999999999998</v>
      </c>
      <c r="J8" s="91">
        <f>SUM($I$5:I8)</f>
        <v>3.42</v>
      </c>
      <c r="K8" s="1"/>
      <c r="L8" s="1"/>
      <c r="M8" s="82">
        <v>3</v>
      </c>
      <c r="N8" s="74">
        <v>0.125</v>
      </c>
      <c r="O8" s="78">
        <v>0.15</v>
      </c>
      <c r="P8" s="180">
        <f t="shared" si="4"/>
        <v>0.635625</v>
      </c>
      <c r="Q8" s="61">
        <f t="shared" si="5"/>
        <v>2.1</v>
      </c>
      <c r="R8" s="183">
        <f t="shared" si="6"/>
        <v>1.464375</v>
      </c>
      <c r="S8" s="91">
        <f>SUM($R$5:R8)</f>
        <v>5.8574999999999999</v>
      </c>
      <c r="T8" s="1"/>
      <c r="U8" s="1"/>
      <c r="V8" s="82">
        <v>3</v>
      </c>
      <c r="W8" s="74">
        <v>0.125</v>
      </c>
      <c r="X8" s="78">
        <v>0.15</v>
      </c>
      <c r="Y8" s="103">
        <f t="shared" si="7"/>
        <v>1.0574999999999999</v>
      </c>
      <c r="Z8" s="61">
        <f t="shared" si="8"/>
        <v>3.5</v>
      </c>
      <c r="AA8" s="93">
        <f t="shared" si="9"/>
        <v>2.4424999999999999</v>
      </c>
      <c r="AB8" s="91">
        <f>SUM($AA$5:AA8)</f>
        <v>9.77</v>
      </c>
      <c r="AC8" s="1"/>
      <c r="AD8" s="1"/>
      <c r="AE8" s="82">
        <v>3</v>
      </c>
      <c r="AF8" s="74">
        <v>0.125</v>
      </c>
      <c r="AG8" s="78">
        <v>0.15</v>
      </c>
      <c r="AH8" s="99">
        <f t="shared" si="10"/>
        <v>1.0687500000000001</v>
      </c>
      <c r="AI8" s="61">
        <f t="shared" si="1"/>
        <v>3.45</v>
      </c>
      <c r="AJ8" s="93">
        <f t="shared" si="11"/>
        <v>2.3812500000000001</v>
      </c>
      <c r="AK8" s="91">
        <f>SUM($AJ$5:AJ8)</f>
        <v>9.5250000000000004</v>
      </c>
      <c r="AL8" s="61">
        <f t="shared" si="12"/>
        <v>3.45</v>
      </c>
      <c r="AM8" s="1"/>
      <c r="AN8" s="1"/>
      <c r="AO8" s="1"/>
      <c r="AP8" s="1"/>
      <c r="AQ8" s="1"/>
      <c r="AR8" s="1"/>
      <c r="AS8" s="1"/>
      <c r="AT8" s="1"/>
    </row>
    <row r="9" spans="1:46" x14ac:dyDescent="0.25">
      <c r="A9" s="1"/>
      <c r="B9" s="1"/>
      <c r="C9" s="1"/>
      <c r="D9" s="82">
        <v>4</v>
      </c>
      <c r="E9" s="74">
        <v>0.16666666666666699</v>
      </c>
      <c r="F9" s="78">
        <v>0.15</v>
      </c>
      <c r="G9" s="99">
        <f t="shared" si="2"/>
        <v>0.375</v>
      </c>
      <c r="H9" s="61">
        <f t="shared" si="0"/>
        <v>1.23</v>
      </c>
      <c r="I9" s="93">
        <f t="shared" si="3"/>
        <v>0.85499999999999998</v>
      </c>
      <c r="J9" s="91">
        <f>SUM($I$5:I9)</f>
        <v>4.2750000000000004</v>
      </c>
      <c r="K9" s="1"/>
      <c r="L9" s="1"/>
      <c r="M9" s="82">
        <v>4</v>
      </c>
      <c r="N9" s="74">
        <v>0.16666666666666699</v>
      </c>
      <c r="O9" s="78">
        <v>0.15</v>
      </c>
      <c r="P9" s="180">
        <f t="shared" si="4"/>
        <v>0.635625</v>
      </c>
      <c r="Q9" s="61">
        <f t="shared" si="5"/>
        <v>2.1</v>
      </c>
      <c r="R9" s="183">
        <f t="shared" si="6"/>
        <v>1.464375</v>
      </c>
      <c r="S9" s="91">
        <f>SUM($R$5:R9)</f>
        <v>7.3218750000000004</v>
      </c>
      <c r="T9" s="1"/>
      <c r="U9" s="1"/>
      <c r="V9" s="82">
        <v>4</v>
      </c>
      <c r="W9" s="74">
        <v>0.16666666666666699</v>
      </c>
      <c r="X9" s="78">
        <v>0.15</v>
      </c>
      <c r="Y9" s="103">
        <f t="shared" si="7"/>
        <v>1.0574999999999999</v>
      </c>
      <c r="Z9" s="61">
        <f t="shared" si="8"/>
        <v>3.5</v>
      </c>
      <c r="AA9" s="93">
        <f t="shared" si="9"/>
        <v>2.4424999999999999</v>
      </c>
      <c r="AB9" s="91">
        <f>SUM($AA$5:AA9)</f>
        <v>12.212499999999999</v>
      </c>
      <c r="AC9" s="1"/>
      <c r="AD9" s="1"/>
      <c r="AE9" s="82">
        <v>4</v>
      </c>
      <c r="AF9" s="74">
        <v>0.16666666666666699</v>
      </c>
      <c r="AG9" s="78">
        <v>0.15</v>
      </c>
      <c r="AH9" s="99">
        <f t="shared" si="10"/>
        <v>1.0687500000000001</v>
      </c>
      <c r="AI9" s="61">
        <f t="shared" si="1"/>
        <v>3.45</v>
      </c>
      <c r="AJ9" s="93">
        <f t="shared" si="11"/>
        <v>2.3812500000000001</v>
      </c>
      <c r="AK9" s="91">
        <f>SUM($AJ$5:AJ9)</f>
        <v>11.90625</v>
      </c>
      <c r="AL9" s="61">
        <f t="shared" si="12"/>
        <v>3.45</v>
      </c>
      <c r="AM9" s="1"/>
      <c r="AN9" s="1"/>
      <c r="AO9" s="1"/>
      <c r="AP9" s="1"/>
      <c r="AQ9" s="1"/>
      <c r="AR9" s="1"/>
      <c r="AS9" s="1"/>
      <c r="AT9" s="1"/>
    </row>
    <row r="10" spans="1:46" x14ac:dyDescent="0.25">
      <c r="A10" s="1"/>
      <c r="B10" s="1"/>
      <c r="C10" s="1"/>
      <c r="D10" s="82">
        <v>5</v>
      </c>
      <c r="E10" s="74">
        <v>0.20833333333333301</v>
      </c>
      <c r="F10" s="78">
        <v>0.17499999999999999</v>
      </c>
      <c r="G10" s="99">
        <f t="shared" si="2"/>
        <v>0.4375</v>
      </c>
      <c r="H10" s="61">
        <f t="shared" si="0"/>
        <v>1.23</v>
      </c>
      <c r="I10" s="93">
        <f t="shared" si="3"/>
        <v>0.79249999999999998</v>
      </c>
      <c r="J10" s="91">
        <f>SUM($I$5:I10)</f>
        <v>5.0675000000000008</v>
      </c>
      <c r="K10" s="1"/>
      <c r="L10" s="1"/>
      <c r="M10" s="82">
        <v>5</v>
      </c>
      <c r="N10" s="74">
        <v>0.20833333333333301</v>
      </c>
      <c r="O10" s="78">
        <v>0.17499999999999999</v>
      </c>
      <c r="P10" s="180">
        <f t="shared" si="4"/>
        <v>0.74156250000000001</v>
      </c>
      <c r="Q10" s="61">
        <f t="shared" si="5"/>
        <v>2.1</v>
      </c>
      <c r="R10" s="183">
        <f t="shared" si="6"/>
        <v>1.3584375</v>
      </c>
      <c r="S10" s="91">
        <f>SUM($R$5:R10)</f>
        <v>8.6803124999999994</v>
      </c>
      <c r="T10" s="1"/>
      <c r="U10" s="1"/>
      <c r="V10" s="82">
        <v>5</v>
      </c>
      <c r="W10" s="74">
        <v>0.20833333333333301</v>
      </c>
      <c r="X10" s="78">
        <v>0.17499999999999999</v>
      </c>
      <c r="Y10" s="103">
        <f t="shared" si="7"/>
        <v>1.2337499999999999</v>
      </c>
      <c r="Z10" s="61">
        <f t="shared" si="8"/>
        <v>3.5</v>
      </c>
      <c r="AA10" s="93">
        <f t="shared" si="9"/>
        <v>2.2662500000000003</v>
      </c>
      <c r="AB10" s="91">
        <f>SUM($AA$5:AA10)</f>
        <v>14.478749999999998</v>
      </c>
      <c r="AC10" s="1"/>
      <c r="AD10" s="1"/>
      <c r="AE10" s="82">
        <v>5</v>
      </c>
      <c r="AF10" s="74">
        <v>0.20833333333333301</v>
      </c>
      <c r="AG10" s="78">
        <v>0.17499999999999999</v>
      </c>
      <c r="AH10" s="99">
        <f t="shared" si="10"/>
        <v>1.246875</v>
      </c>
      <c r="AI10" s="61">
        <f>$AI$2</f>
        <v>3.45</v>
      </c>
      <c r="AJ10" s="93">
        <f t="shared" si="11"/>
        <v>2.203125</v>
      </c>
      <c r="AK10" s="91">
        <f>SUM($AJ$5:AJ10)</f>
        <v>14.109375</v>
      </c>
      <c r="AL10" s="61">
        <f t="shared" si="12"/>
        <v>3.45</v>
      </c>
      <c r="AM10" s="1"/>
      <c r="AN10" s="1"/>
      <c r="AO10" s="1"/>
      <c r="AP10" s="1"/>
      <c r="AQ10" s="1"/>
      <c r="AR10" s="1"/>
      <c r="AS10" s="1"/>
      <c r="AT10" s="1"/>
    </row>
    <row r="11" spans="1:46" x14ac:dyDescent="0.25">
      <c r="A11" s="1"/>
      <c r="B11" s="1"/>
      <c r="C11" s="1"/>
      <c r="D11" s="82">
        <v>6</v>
      </c>
      <c r="E11" s="74">
        <v>0.25</v>
      </c>
      <c r="F11" s="78">
        <v>0.2</v>
      </c>
      <c r="G11" s="99">
        <f t="shared" si="2"/>
        <v>0.5</v>
      </c>
      <c r="H11" s="61">
        <f t="shared" si="0"/>
        <v>1.23</v>
      </c>
      <c r="I11" s="93">
        <f t="shared" si="3"/>
        <v>0.73</v>
      </c>
      <c r="J11" s="91">
        <f>SUM($I$5:I11)</f>
        <v>5.7975000000000012</v>
      </c>
      <c r="K11" s="1"/>
      <c r="L11" s="1"/>
      <c r="M11" s="82">
        <v>6</v>
      </c>
      <c r="N11" s="74">
        <v>0.25</v>
      </c>
      <c r="O11" s="78">
        <v>0.2</v>
      </c>
      <c r="P11" s="180">
        <f t="shared" si="4"/>
        <v>0.84750000000000003</v>
      </c>
      <c r="Q11" s="61">
        <f t="shared" si="5"/>
        <v>2.1</v>
      </c>
      <c r="R11" s="183">
        <f t="shared" si="6"/>
        <v>1.2524999999999999</v>
      </c>
      <c r="S11" s="91">
        <f>SUM($R$5:R11)</f>
        <v>9.9328124999999989</v>
      </c>
      <c r="T11" s="1"/>
      <c r="U11" s="1"/>
      <c r="V11" s="82">
        <v>6</v>
      </c>
      <c r="W11" s="74">
        <v>0.25</v>
      </c>
      <c r="X11" s="78">
        <v>0.2</v>
      </c>
      <c r="Y11" s="103">
        <f t="shared" si="7"/>
        <v>1.41</v>
      </c>
      <c r="Z11" s="61">
        <f t="shared" si="8"/>
        <v>3.5</v>
      </c>
      <c r="AA11" s="93">
        <f t="shared" si="9"/>
        <v>2.09</v>
      </c>
      <c r="AB11" s="91">
        <f>SUM($AA$5:AA11)</f>
        <v>16.568749999999998</v>
      </c>
      <c r="AC11" s="1"/>
      <c r="AD11" s="1"/>
      <c r="AE11" s="82">
        <v>6</v>
      </c>
      <c r="AF11" s="74">
        <v>0.25</v>
      </c>
      <c r="AG11" s="78">
        <v>0.2</v>
      </c>
      <c r="AH11" s="99">
        <f t="shared" si="10"/>
        <v>1.425</v>
      </c>
      <c r="AI11" s="61">
        <f t="shared" si="1"/>
        <v>3.45</v>
      </c>
      <c r="AJ11" s="93">
        <f t="shared" si="11"/>
        <v>2.0250000000000004</v>
      </c>
      <c r="AK11" s="91">
        <f>SUM($AJ$5:AJ11)</f>
        <v>16.134374999999999</v>
      </c>
      <c r="AL11" s="61">
        <f t="shared" si="12"/>
        <v>3.45</v>
      </c>
      <c r="AM11" s="1"/>
      <c r="AN11" s="1"/>
      <c r="AO11" s="1"/>
      <c r="AP11" s="1"/>
      <c r="AQ11" s="1"/>
      <c r="AR11" s="1"/>
      <c r="AS11" s="1"/>
      <c r="AT11" s="1"/>
    </row>
    <row r="12" spans="1:46" x14ac:dyDescent="0.25">
      <c r="A12" s="1"/>
      <c r="B12" s="1"/>
      <c r="C12" s="1"/>
      <c r="D12" s="82">
        <v>7</v>
      </c>
      <c r="E12" s="74">
        <v>0.29166666666666702</v>
      </c>
      <c r="F12" s="78">
        <v>0.4</v>
      </c>
      <c r="G12" s="99">
        <f t="shared" si="2"/>
        <v>1</v>
      </c>
      <c r="H12" s="61">
        <f t="shared" si="0"/>
        <v>1.23</v>
      </c>
      <c r="I12" s="93">
        <f t="shared" si="3"/>
        <v>0.22999999999999998</v>
      </c>
      <c r="J12" s="91">
        <f>SUM($I$5:I12)</f>
        <v>6.0275000000000016</v>
      </c>
      <c r="K12" s="1"/>
      <c r="L12" s="1"/>
      <c r="M12" s="82">
        <v>7</v>
      </c>
      <c r="N12" s="74">
        <v>0.29166666666666702</v>
      </c>
      <c r="O12" s="78">
        <v>0.4</v>
      </c>
      <c r="P12" s="180">
        <f t="shared" si="4"/>
        <v>1.6950000000000001</v>
      </c>
      <c r="Q12" s="61">
        <f t="shared" si="5"/>
        <v>2.1</v>
      </c>
      <c r="R12" s="183">
        <f t="shared" si="6"/>
        <v>0.40500000000000003</v>
      </c>
      <c r="S12" s="91">
        <f>SUM($R$5:R12)</f>
        <v>10.337812499999998</v>
      </c>
      <c r="T12" s="1"/>
      <c r="U12" s="1"/>
      <c r="V12" s="82">
        <v>7</v>
      </c>
      <c r="W12" s="74">
        <v>0.29166666666666702</v>
      </c>
      <c r="X12" s="78">
        <v>0.4</v>
      </c>
      <c r="Y12" s="103">
        <f t="shared" si="7"/>
        <v>2.82</v>
      </c>
      <c r="Z12" s="61">
        <f t="shared" si="8"/>
        <v>3.5</v>
      </c>
      <c r="AA12" s="93">
        <f t="shared" si="9"/>
        <v>0.68000000000000016</v>
      </c>
      <c r="AB12" s="91">
        <f>SUM($AA$5:AA12)</f>
        <v>17.248749999999998</v>
      </c>
      <c r="AC12" s="1"/>
      <c r="AD12" s="1"/>
      <c r="AE12" s="82">
        <v>7</v>
      </c>
      <c r="AF12" s="74">
        <v>0.29166666666666702</v>
      </c>
      <c r="AG12" s="78">
        <v>0.4</v>
      </c>
      <c r="AH12" s="99">
        <f t="shared" si="10"/>
        <v>2.85</v>
      </c>
      <c r="AI12" s="61">
        <f t="shared" si="1"/>
        <v>3.45</v>
      </c>
      <c r="AJ12" s="93">
        <f t="shared" si="11"/>
        <v>0.60000000000000009</v>
      </c>
      <c r="AK12" s="91">
        <f>SUM($AJ$5:AJ12)</f>
        <v>16.734375</v>
      </c>
      <c r="AL12" s="61">
        <f t="shared" si="12"/>
        <v>3.45</v>
      </c>
      <c r="AM12" s="494" t="s">
        <v>185</v>
      </c>
      <c r="AN12" s="495"/>
      <c r="AO12" s="1"/>
      <c r="AP12" s="1"/>
      <c r="AQ12" s="1"/>
      <c r="AR12" s="1"/>
      <c r="AS12" s="1"/>
      <c r="AT12" s="1"/>
    </row>
    <row r="13" spans="1:46" x14ac:dyDescent="0.25">
      <c r="A13" s="1"/>
      <c r="B13" s="1"/>
      <c r="C13" s="1"/>
      <c r="D13" s="82">
        <v>8</v>
      </c>
      <c r="E13" s="74">
        <v>0.33333333333333298</v>
      </c>
      <c r="F13" s="78">
        <v>0.6</v>
      </c>
      <c r="G13" s="99">
        <f t="shared" si="2"/>
        <v>1.5</v>
      </c>
      <c r="H13" s="61">
        <f t="shared" si="0"/>
        <v>1.23</v>
      </c>
      <c r="I13" s="93">
        <f t="shared" si="3"/>
        <v>-0.27</v>
      </c>
      <c r="J13" s="91">
        <f>SUM($I$5:I13)</f>
        <v>5.7575000000000021</v>
      </c>
      <c r="K13" s="1"/>
      <c r="L13" s="1"/>
      <c r="M13" s="82">
        <v>8</v>
      </c>
      <c r="N13" s="74">
        <v>0.33333333333333298</v>
      </c>
      <c r="O13" s="78">
        <v>0.6</v>
      </c>
      <c r="P13" s="180">
        <f t="shared" si="4"/>
        <v>2.5425</v>
      </c>
      <c r="Q13" s="61">
        <f t="shared" si="5"/>
        <v>2.1</v>
      </c>
      <c r="R13" s="183">
        <f t="shared" si="6"/>
        <v>-0.44249999999999989</v>
      </c>
      <c r="S13" s="91">
        <f>SUM($R$5:R13)</f>
        <v>9.8953124999999993</v>
      </c>
      <c r="T13" s="1"/>
      <c r="U13" s="1"/>
      <c r="V13" s="82">
        <v>8</v>
      </c>
      <c r="W13" s="74">
        <v>0.33333333333333298</v>
      </c>
      <c r="X13" s="78">
        <v>0.6</v>
      </c>
      <c r="Y13" s="103">
        <f t="shared" si="7"/>
        <v>4.2299999999999995</v>
      </c>
      <c r="Z13" s="61">
        <f t="shared" si="8"/>
        <v>3.5</v>
      </c>
      <c r="AA13" s="93">
        <f t="shared" si="9"/>
        <v>-0.72999999999999954</v>
      </c>
      <c r="AB13" s="91">
        <f>SUM($AA$5:AA13)</f>
        <v>16.518749999999997</v>
      </c>
      <c r="AC13" s="1"/>
      <c r="AD13" s="1"/>
      <c r="AE13" s="82">
        <v>8</v>
      </c>
      <c r="AF13" s="74">
        <v>0.33333333333333298</v>
      </c>
      <c r="AG13" s="78">
        <v>0.6</v>
      </c>
      <c r="AH13" s="99">
        <f t="shared" si="10"/>
        <v>4.2750000000000004</v>
      </c>
      <c r="AI13" s="61">
        <f t="shared" si="1"/>
        <v>3.45</v>
      </c>
      <c r="AJ13" s="93">
        <f t="shared" si="11"/>
        <v>-0.82500000000000018</v>
      </c>
      <c r="AK13" s="91">
        <f>SUM($AJ$5:AJ13)</f>
        <v>15.909375000000001</v>
      </c>
      <c r="AL13" s="61">
        <f t="shared" si="12"/>
        <v>3.45</v>
      </c>
      <c r="AM13" s="73">
        <v>0.33333333333333298</v>
      </c>
      <c r="AN13" s="174">
        <v>0.3</v>
      </c>
      <c r="AO13" s="1"/>
      <c r="AP13" s="1"/>
      <c r="AQ13" s="1"/>
      <c r="AR13" s="1"/>
      <c r="AS13" s="1"/>
      <c r="AT13" s="1"/>
    </row>
    <row r="14" spans="1:46" x14ac:dyDescent="0.25">
      <c r="A14" s="1"/>
      <c r="B14" s="1"/>
      <c r="C14" s="1"/>
      <c r="D14" s="82">
        <v>9</v>
      </c>
      <c r="E14" s="74">
        <v>0.375</v>
      </c>
      <c r="F14" s="78">
        <v>0.6</v>
      </c>
      <c r="G14" s="99">
        <f t="shared" si="2"/>
        <v>1.5</v>
      </c>
      <c r="H14" s="61">
        <f t="shared" si="0"/>
        <v>1.23</v>
      </c>
      <c r="I14" s="93">
        <f t="shared" si="3"/>
        <v>-0.27</v>
      </c>
      <c r="J14" s="91">
        <f>SUM($I$5:I14)</f>
        <v>5.4875000000000025</v>
      </c>
      <c r="K14" s="1"/>
      <c r="L14" s="1"/>
      <c r="M14" s="82">
        <v>9</v>
      </c>
      <c r="N14" s="74">
        <v>0.375</v>
      </c>
      <c r="O14" s="78">
        <v>0.6</v>
      </c>
      <c r="P14" s="180">
        <f t="shared" si="4"/>
        <v>2.5425</v>
      </c>
      <c r="Q14" s="61">
        <f t="shared" si="5"/>
        <v>2.1</v>
      </c>
      <c r="R14" s="183">
        <f t="shared" si="6"/>
        <v>-0.44249999999999989</v>
      </c>
      <c r="S14" s="91">
        <f>SUM($R$5:R14)</f>
        <v>9.4528125000000003</v>
      </c>
      <c r="T14" s="1"/>
      <c r="U14" s="1"/>
      <c r="V14" s="82">
        <v>9</v>
      </c>
      <c r="W14" s="74">
        <v>0.375</v>
      </c>
      <c r="X14" s="78">
        <v>0.6</v>
      </c>
      <c r="Y14" s="103">
        <f t="shared" si="7"/>
        <v>4.2299999999999995</v>
      </c>
      <c r="Z14" s="61">
        <f t="shared" si="8"/>
        <v>3.5</v>
      </c>
      <c r="AA14" s="93">
        <f t="shared" si="9"/>
        <v>-0.72999999999999954</v>
      </c>
      <c r="AB14" s="91">
        <f>SUM($AA$5:AA14)</f>
        <v>15.788749999999997</v>
      </c>
      <c r="AC14" s="1"/>
      <c r="AD14" s="1"/>
      <c r="AE14" s="82">
        <v>9</v>
      </c>
      <c r="AF14" s="74">
        <v>0.375</v>
      </c>
      <c r="AG14" s="78">
        <v>0.6</v>
      </c>
      <c r="AH14" s="99">
        <f t="shared" si="10"/>
        <v>4.2750000000000004</v>
      </c>
      <c r="AI14" s="61">
        <f t="shared" si="1"/>
        <v>3.45</v>
      </c>
      <c r="AJ14" s="93">
        <f t="shared" si="11"/>
        <v>-0.82500000000000018</v>
      </c>
      <c r="AK14" s="91">
        <f>SUM($AJ$5:AJ14)</f>
        <v>15.084375000000001</v>
      </c>
      <c r="AL14" s="61">
        <f t="shared" si="12"/>
        <v>3.45</v>
      </c>
      <c r="AM14" s="74">
        <v>0.375</v>
      </c>
      <c r="AN14" s="175">
        <v>0.3</v>
      </c>
      <c r="AO14" s="1"/>
      <c r="AP14" s="1"/>
      <c r="AQ14" s="1"/>
      <c r="AR14" s="1"/>
      <c r="AS14" s="1"/>
      <c r="AT14" s="1"/>
    </row>
    <row r="15" spans="1:46" x14ac:dyDescent="0.25">
      <c r="A15" s="1"/>
      <c r="B15" s="1"/>
      <c r="C15" s="1"/>
      <c r="D15" s="82">
        <v>10</v>
      </c>
      <c r="E15" s="74">
        <v>0.41666666666666702</v>
      </c>
      <c r="F15" s="78">
        <v>0.55000000000000004</v>
      </c>
      <c r="G15" s="99">
        <f t="shared" si="2"/>
        <v>1.375</v>
      </c>
      <c r="H15" s="61">
        <f t="shared" si="0"/>
        <v>1.23</v>
      </c>
      <c r="I15" s="93">
        <f t="shared" si="3"/>
        <v>-0.14500000000000002</v>
      </c>
      <c r="J15" s="91">
        <f>SUM($I$5:I15)</f>
        <v>5.3425000000000029</v>
      </c>
      <c r="K15" s="1"/>
      <c r="L15" s="1"/>
      <c r="M15" s="82">
        <v>10</v>
      </c>
      <c r="N15" s="74">
        <v>0.41666666666666702</v>
      </c>
      <c r="O15" s="78">
        <v>0.55000000000000004</v>
      </c>
      <c r="P15" s="180">
        <f t="shared" si="4"/>
        <v>2.3306249999999999</v>
      </c>
      <c r="Q15" s="61">
        <f t="shared" si="5"/>
        <v>2.1</v>
      </c>
      <c r="R15" s="183">
        <f t="shared" si="6"/>
        <v>-0.23062499999999986</v>
      </c>
      <c r="S15" s="91">
        <f>SUM($R$5:R15)</f>
        <v>9.2221875000000004</v>
      </c>
      <c r="T15" s="1"/>
      <c r="U15" s="1"/>
      <c r="V15" s="82">
        <v>10</v>
      </c>
      <c r="W15" s="74">
        <v>0.41666666666666702</v>
      </c>
      <c r="X15" s="78">
        <v>0.55000000000000004</v>
      </c>
      <c r="Y15" s="103">
        <f t="shared" si="7"/>
        <v>3.8774999999999999</v>
      </c>
      <c r="Z15" s="61">
        <f t="shared" si="8"/>
        <v>3.5</v>
      </c>
      <c r="AA15" s="93">
        <f t="shared" si="9"/>
        <v>-0.37749999999999995</v>
      </c>
      <c r="AB15" s="91">
        <f>SUM($AA$5:AA15)</f>
        <v>15.411249999999997</v>
      </c>
      <c r="AC15" s="1"/>
      <c r="AD15" s="1"/>
      <c r="AE15" s="82">
        <v>10</v>
      </c>
      <c r="AF15" s="74">
        <v>0.41666666666666702</v>
      </c>
      <c r="AG15" s="78">
        <v>0.55000000000000004</v>
      </c>
      <c r="AH15" s="99">
        <f t="shared" si="10"/>
        <v>3.9187500000000002</v>
      </c>
      <c r="AI15" s="61">
        <f t="shared" si="1"/>
        <v>3.45</v>
      </c>
      <c r="AJ15" s="93">
        <f t="shared" si="11"/>
        <v>-0.46875</v>
      </c>
      <c r="AK15" s="91">
        <f>SUM($AJ$5:AJ15)</f>
        <v>14.615625000000001</v>
      </c>
      <c r="AL15" s="61">
        <f t="shared" si="12"/>
        <v>3.45</v>
      </c>
      <c r="AM15" s="74">
        <v>0.41666666666666702</v>
      </c>
      <c r="AN15" s="175">
        <v>0.3</v>
      </c>
      <c r="AO15" s="1"/>
      <c r="AP15" s="1"/>
      <c r="AQ15" s="1"/>
      <c r="AR15" s="1"/>
      <c r="AS15" s="1"/>
      <c r="AT15" s="1"/>
    </row>
    <row r="16" spans="1:46" x14ac:dyDescent="0.25">
      <c r="A16" s="1"/>
      <c r="B16" s="1"/>
      <c r="C16" s="1"/>
      <c r="D16" s="82">
        <v>11</v>
      </c>
      <c r="E16" s="74">
        <v>0.45833333333333298</v>
      </c>
      <c r="F16" s="78">
        <v>0.5</v>
      </c>
      <c r="G16" s="99">
        <f t="shared" si="2"/>
        <v>1.25</v>
      </c>
      <c r="H16" s="61">
        <f t="shared" si="0"/>
        <v>1.23</v>
      </c>
      <c r="I16" s="93">
        <f t="shared" si="3"/>
        <v>-2.0000000000000018E-2</v>
      </c>
      <c r="J16" s="91">
        <f>SUM($I$5:I16)</f>
        <v>5.3225000000000033</v>
      </c>
      <c r="K16" s="1"/>
      <c r="L16" s="1"/>
      <c r="M16" s="82">
        <v>11</v>
      </c>
      <c r="N16" s="74">
        <v>0.45833333333333298</v>
      </c>
      <c r="O16" s="78">
        <v>0.5</v>
      </c>
      <c r="P16" s="180">
        <f t="shared" si="4"/>
        <v>2.1187499999999999</v>
      </c>
      <c r="Q16" s="61">
        <f t="shared" si="5"/>
        <v>2.1</v>
      </c>
      <c r="R16" s="183">
        <f t="shared" si="6"/>
        <v>-1.8749999999999822E-2</v>
      </c>
      <c r="S16" s="91">
        <f>SUM($R$5:R16)</f>
        <v>9.2034374999999997</v>
      </c>
      <c r="T16" s="1"/>
      <c r="U16" s="1"/>
      <c r="V16" s="82">
        <v>11</v>
      </c>
      <c r="W16" s="74">
        <v>0.45833333333333298</v>
      </c>
      <c r="X16" s="78">
        <v>0.5</v>
      </c>
      <c r="Y16" s="103">
        <f t="shared" si="7"/>
        <v>3.5249999999999999</v>
      </c>
      <c r="Z16" s="61">
        <f t="shared" si="8"/>
        <v>3.5</v>
      </c>
      <c r="AA16" s="93">
        <f t="shared" si="9"/>
        <v>-2.4999999999999911E-2</v>
      </c>
      <c r="AB16" s="91">
        <f>SUM($AA$5:AA16)</f>
        <v>15.386249999999997</v>
      </c>
      <c r="AC16" s="1"/>
      <c r="AD16" s="1"/>
      <c r="AE16" s="82">
        <v>11</v>
      </c>
      <c r="AF16" s="74">
        <v>0.45833333333333298</v>
      </c>
      <c r="AG16" s="78">
        <v>0.5</v>
      </c>
      <c r="AH16" s="99">
        <f t="shared" si="10"/>
        <v>3.5625</v>
      </c>
      <c r="AI16" s="61">
        <f t="shared" si="1"/>
        <v>3.45</v>
      </c>
      <c r="AJ16" s="93">
        <f t="shared" si="11"/>
        <v>-0.11249999999999982</v>
      </c>
      <c r="AK16" s="91">
        <f>SUM($AJ$5:AJ16)</f>
        <v>14.503125000000001</v>
      </c>
      <c r="AL16" s="61">
        <f t="shared" si="12"/>
        <v>3.45</v>
      </c>
      <c r="AM16" s="74">
        <v>0.45833333333333298</v>
      </c>
      <c r="AN16" s="175">
        <v>0.3</v>
      </c>
      <c r="AO16" s="1"/>
      <c r="AP16" s="1"/>
      <c r="AQ16" s="1"/>
      <c r="AR16" s="1"/>
      <c r="AS16" s="1"/>
      <c r="AT16" s="1"/>
    </row>
    <row r="17" spans="1:46" x14ac:dyDescent="0.25">
      <c r="A17" s="1"/>
      <c r="B17" s="1"/>
      <c r="C17" s="1"/>
      <c r="D17" s="82">
        <v>12</v>
      </c>
      <c r="E17" s="74">
        <v>0.5</v>
      </c>
      <c r="F17" s="78">
        <v>0.5</v>
      </c>
      <c r="G17" s="99">
        <f t="shared" si="2"/>
        <v>1.25</v>
      </c>
      <c r="H17" s="61">
        <f t="shared" si="0"/>
        <v>1.23</v>
      </c>
      <c r="I17" s="93">
        <f t="shared" si="3"/>
        <v>-2.0000000000000018E-2</v>
      </c>
      <c r="J17" s="91">
        <f>SUM($I$5:I17)</f>
        <v>5.3025000000000038</v>
      </c>
      <c r="K17" s="1"/>
      <c r="L17" s="1"/>
      <c r="M17" s="82">
        <v>12</v>
      </c>
      <c r="N17" s="74">
        <v>0.5</v>
      </c>
      <c r="O17" s="78">
        <v>0.5</v>
      </c>
      <c r="P17" s="180">
        <f t="shared" si="4"/>
        <v>2.1187499999999999</v>
      </c>
      <c r="Q17" s="61">
        <f t="shared" si="5"/>
        <v>2.1</v>
      </c>
      <c r="R17" s="183">
        <f t="shared" si="6"/>
        <v>-1.8749999999999822E-2</v>
      </c>
      <c r="S17" s="91">
        <f>SUM($R$5:R17)</f>
        <v>9.184687499999999</v>
      </c>
      <c r="T17" s="1"/>
      <c r="U17" s="1"/>
      <c r="V17" s="82">
        <v>12</v>
      </c>
      <c r="W17" s="74">
        <v>0.5</v>
      </c>
      <c r="X17" s="78">
        <v>0.5</v>
      </c>
      <c r="Y17" s="103">
        <f t="shared" si="7"/>
        <v>3.5249999999999999</v>
      </c>
      <c r="Z17" s="61">
        <f t="shared" si="8"/>
        <v>3.5</v>
      </c>
      <c r="AA17" s="93">
        <f t="shared" si="9"/>
        <v>-2.4999999999999911E-2</v>
      </c>
      <c r="AB17" s="91">
        <f>SUM($AA$5:AA17)</f>
        <v>15.361249999999997</v>
      </c>
      <c r="AC17" s="1"/>
      <c r="AD17" s="1"/>
      <c r="AE17" s="82">
        <v>12</v>
      </c>
      <c r="AF17" s="74">
        <v>0.5</v>
      </c>
      <c r="AG17" s="78">
        <v>0.5</v>
      </c>
      <c r="AH17" s="99">
        <f t="shared" si="10"/>
        <v>3.5625</v>
      </c>
      <c r="AI17" s="61">
        <f t="shared" si="1"/>
        <v>3.45</v>
      </c>
      <c r="AJ17" s="93">
        <f t="shared" si="11"/>
        <v>-0.11249999999999982</v>
      </c>
      <c r="AK17" s="91">
        <f>SUM($AJ$5:AJ17)</f>
        <v>14.390625</v>
      </c>
      <c r="AL17" s="61">
        <f t="shared" si="12"/>
        <v>3.45</v>
      </c>
      <c r="AM17" s="74">
        <v>0.5</v>
      </c>
      <c r="AN17" s="175">
        <v>0.3</v>
      </c>
      <c r="AO17" s="1"/>
      <c r="AP17" s="1"/>
      <c r="AQ17" s="1"/>
      <c r="AR17" s="1"/>
      <c r="AS17" s="1"/>
      <c r="AT17" s="1"/>
    </row>
    <row r="18" spans="1:46" x14ac:dyDescent="0.25">
      <c r="A18" s="1"/>
      <c r="B18" s="1"/>
      <c r="C18" s="1"/>
      <c r="D18" s="82">
        <v>13</v>
      </c>
      <c r="E18" s="74">
        <v>0.54166666666666696</v>
      </c>
      <c r="F18" s="78">
        <v>0.5</v>
      </c>
      <c r="G18" s="99">
        <f t="shared" si="2"/>
        <v>1.25</v>
      </c>
      <c r="H18" s="61">
        <f t="shared" si="0"/>
        <v>1.23</v>
      </c>
      <c r="I18" s="93">
        <f t="shared" si="3"/>
        <v>-2.0000000000000018E-2</v>
      </c>
      <c r="J18" s="91">
        <f>SUM($I$5:I18)</f>
        <v>5.2825000000000042</v>
      </c>
      <c r="K18" s="1"/>
      <c r="L18" s="1"/>
      <c r="M18" s="82">
        <v>13</v>
      </c>
      <c r="N18" s="74">
        <v>0.54166666666666696</v>
      </c>
      <c r="O18" s="78">
        <v>0.5</v>
      </c>
      <c r="P18" s="180">
        <f t="shared" si="4"/>
        <v>2.1187499999999999</v>
      </c>
      <c r="Q18" s="61">
        <f t="shared" si="5"/>
        <v>2.1</v>
      </c>
      <c r="R18" s="183">
        <f t="shared" si="6"/>
        <v>-1.8749999999999822E-2</v>
      </c>
      <c r="S18" s="91">
        <f>SUM($R$5:R18)</f>
        <v>9.1659374999999983</v>
      </c>
      <c r="T18" s="1"/>
      <c r="U18" s="1"/>
      <c r="V18" s="82">
        <v>13</v>
      </c>
      <c r="W18" s="74">
        <v>0.54166666666666696</v>
      </c>
      <c r="X18" s="78">
        <v>0.5</v>
      </c>
      <c r="Y18" s="103">
        <f t="shared" si="7"/>
        <v>3.5249999999999999</v>
      </c>
      <c r="Z18" s="61">
        <f t="shared" si="8"/>
        <v>3.5</v>
      </c>
      <c r="AA18" s="93">
        <f t="shared" si="9"/>
        <v>-2.4999999999999911E-2</v>
      </c>
      <c r="AB18" s="91">
        <f>SUM($AA$5:AA18)</f>
        <v>15.336249999999996</v>
      </c>
      <c r="AC18" s="1"/>
      <c r="AD18" s="1"/>
      <c r="AE18" s="82">
        <v>13</v>
      </c>
      <c r="AF18" s="74">
        <v>0.54166666666666696</v>
      </c>
      <c r="AG18" s="78">
        <v>0.5</v>
      </c>
      <c r="AH18" s="99">
        <f t="shared" si="10"/>
        <v>3.5625</v>
      </c>
      <c r="AI18" s="61">
        <f t="shared" si="1"/>
        <v>3.45</v>
      </c>
      <c r="AJ18" s="93">
        <f t="shared" si="11"/>
        <v>-0.11249999999999982</v>
      </c>
      <c r="AK18" s="91">
        <f>SUM($AJ$5:AJ18)</f>
        <v>14.278124999999999</v>
      </c>
      <c r="AL18" s="61">
        <f t="shared" si="12"/>
        <v>3.45</v>
      </c>
      <c r="AM18" s="74">
        <v>0.54166666666666696</v>
      </c>
      <c r="AN18" s="175">
        <v>0.3</v>
      </c>
      <c r="AO18" s="1"/>
      <c r="AP18" s="1"/>
      <c r="AQ18" s="1"/>
      <c r="AR18" s="1"/>
      <c r="AS18" s="1"/>
      <c r="AT18" s="1"/>
    </row>
    <row r="19" spans="1:46" x14ac:dyDescent="0.25">
      <c r="A19" s="1"/>
      <c r="B19" s="1"/>
      <c r="C19" s="1"/>
      <c r="D19" s="82">
        <v>14</v>
      </c>
      <c r="E19" s="74">
        <v>0.58333333333333304</v>
      </c>
      <c r="F19" s="78">
        <v>0.5</v>
      </c>
      <c r="G19" s="99">
        <f t="shared" si="2"/>
        <v>1.25</v>
      </c>
      <c r="H19" s="61">
        <f t="shared" si="0"/>
        <v>1.23</v>
      </c>
      <c r="I19" s="93">
        <f t="shared" si="3"/>
        <v>-2.0000000000000018E-2</v>
      </c>
      <c r="J19" s="91">
        <f>SUM($I$5:I19)</f>
        <v>5.2625000000000046</v>
      </c>
      <c r="K19" s="1"/>
      <c r="L19" s="1"/>
      <c r="M19" s="82">
        <v>14</v>
      </c>
      <c r="N19" s="74">
        <v>0.58333333333333304</v>
      </c>
      <c r="O19" s="78">
        <v>0.5</v>
      </c>
      <c r="P19" s="180">
        <f t="shared" si="4"/>
        <v>2.1187499999999999</v>
      </c>
      <c r="Q19" s="61">
        <f t="shared" si="5"/>
        <v>2.1</v>
      </c>
      <c r="R19" s="183">
        <f t="shared" si="6"/>
        <v>-1.8749999999999822E-2</v>
      </c>
      <c r="S19" s="91">
        <f>SUM($R$5:R19)</f>
        <v>9.1471874999999976</v>
      </c>
      <c r="T19" s="1"/>
      <c r="U19" s="1"/>
      <c r="V19" s="82">
        <v>14</v>
      </c>
      <c r="W19" s="74">
        <v>0.58333333333333304</v>
      </c>
      <c r="X19" s="78">
        <v>0.5</v>
      </c>
      <c r="Y19" s="103">
        <f t="shared" si="7"/>
        <v>3.5249999999999999</v>
      </c>
      <c r="Z19" s="61">
        <f t="shared" si="8"/>
        <v>3.5</v>
      </c>
      <c r="AA19" s="93">
        <f t="shared" si="9"/>
        <v>-2.4999999999999911E-2</v>
      </c>
      <c r="AB19" s="91">
        <f>SUM($AA$5:AA19)</f>
        <v>15.311249999999996</v>
      </c>
      <c r="AC19" s="1"/>
      <c r="AD19" s="1"/>
      <c r="AE19" s="82">
        <v>14</v>
      </c>
      <c r="AF19" s="74">
        <v>0.58333333333333304</v>
      </c>
      <c r="AG19" s="78">
        <v>0.5</v>
      </c>
      <c r="AH19" s="99">
        <f t="shared" si="10"/>
        <v>3.5625</v>
      </c>
      <c r="AI19" s="61">
        <f t="shared" si="1"/>
        <v>3.45</v>
      </c>
      <c r="AJ19" s="93">
        <f t="shared" si="11"/>
        <v>-0.11249999999999982</v>
      </c>
      <c r="AK19" s="91">
        <f>SUM($AJ$5:AJ19)</f>
        <v>14.165624999999999</v>
      </c>
      <c r="AL19" s="61">
        <f t="shared" si="12"/>
        <v>3.45</v>
      </c>
      <c r="AM19" s="74">
        <v>0.58333333333333304</v>
      </c>
      <c r="AN19" s="175">
        <v>0.3</v>
      </c>
      <c r="AO19" s="1"/>
      <c r="AP19" s="1"/>
      <c r="AQ19" s="1"/>
      <c r="AR19" s="1"/>
      <c r="AS19" s="1"/>
      <c r="AT19" s="1"/>
    </row>
    <row r="20" spans="1:46" x14ac:dyDescent="0.25">
      <c r="A20" s="1"/>
      <c r="B20" s="1"/>
      <c r="C20" s="1"/>
      <c r="D20" s="82">
        <v>15</v>
      </c>
      <c r="E20" s="74">
        <v>0.625</v>
      </c>
      <c r="F20" s="78">
        <v>0.5</v>
      </c>
      <c r="G20" s="99">
        <f t="shared" si="2"/>
        <v>1.25</v>
      </c>
      <c r="H20" s="61">
        <f t="shared" si="0"/>
        <v>1.23</v>
      </c>
      <c r="I20" s="93">
        <f t="shared" si="3"/>
        <v>-2.0000000000000018E-2</v>
      </c>
      <c r="J20" s="91">
        <f>SUM($I$5:I20)</f>
        <v>5.242500000000005</v>
      </c>
      <c r="K20" s="1"/>
      <c r="L20" s="1"/>
      <c r="M20" s="82">
        <v>15</v>
      </c>
      <c r="N20" s="74">
        <v>0.625</v>
      </c>
      <c r="O20" s="78">
        <v>0.5</v>
      </c>
      <c r="P20" s="180">
        <f t="shared" si="4"/>
        <v>2.1187499999999999</v>
      </c>
      <c r="Q20" s="61">
        <f t="shared" si="5"/>
        <v>2.1</v>
      </c>
      <c r="R20" s="183">
        <f t="shared" si="6"/>
        <v>-1.8749999999999822E-2</v>
      </c>
      <c r="S20" s="91">
        <f>SUM($R$5:R20)</f>
        <v>9.1284374999999969</v>
      </c>
      <c r="T20" s="1"/>
      <c r="U20" s="1"/>
      <c r="V20" s="82">
        <v>15</v>
      </c>
      <c r="W20" s="74">
        <v>0.625</v>
      </c>
      <c r="X20" s="78">
        <v>0.5</v>
      </c>
      <c r="Y20" s="103">
        <f t="shared" si="7"/>
        <v>3.5249999999999999</v>
      </c>
      <c r="Z20" s="61">
        <f t="shared" si="8"/>
        <v>3.5</v>
      </c>
      <c r="AA20" s="93">
        <f t="shared" si="9"/>
        <v>-2.4999999999999911E-2</v>
      </c>
      <c r="AB20" s="91">
        <f>SUM($AA$5:AA20)</f>
        <v>15.286249999999995</v>
      </c>
      <c r="AC20" s="1"/>
      <c r="AD20" s="1"/>
      <c r="AE20" s="82">
        <v>15</v>
      </c>
      <c r="AF20" s="74">
        <v>0.625</v>
      </c>
      <c r="AG20" s="78">
        <v>0.5</v>
      </c>
      <c r="AH20" s="99">
        <f t="shared" si="10"/>
        <v>3.5625</v>
      </c>
      <c r="AI20" s="61">
        <f t="shared" si="1"/>
        <v>3.45</v>
      </c>
      <c r="AJ20" s="93">
        <f t="shared" si="11"/>
        <v>-0.11249999999999982</v>
      </c>
      <c r="AK20" s="91">
        <f>SUM($AJ$5:AJ20)</f>
        <v>14.053124999999998</v>
      </c>
      <c r="AL20" s="61">
        <f t="shared" si="12"/>
        <v>3.45</v>
      </c>
      <c r="AM20" s="74">
        <v>0.625</v>
      </c>
      <c r="AN20" s="175">
        <v>0.3</v>
      </c>
      <c r="AO20" s="1"/>
      <c r="AP20" s="1"/>
      <c r="AQ20" s="1"/>
      <c r="AR20" s="1"/>
      <c r="AS20" s="1"/>
      <c r="AT20" s="1"/>
    </row>
    <row r="21" spans="1:46" x14ac:dyDescent="0.25">
      <c r="A21" s="1"/>
      <c r="B21" s="1"/>
      <c r="C21" s="1"/>
      <c r="D21" s="82">
        <v>16</v>
      </c>
      <c r="E21" s="74">
        <v>0.66666666666666696</v>
      </c>
      <c r="F21" s="78">
        <v>0.6</v>
      </c>
      <c r="G21" s="99">
        <f t="shared" si="2"/>
        <v>1.5</v>
      </c>
      <c r="H21" s="61">
        <f t="shared" si="0"/>
        <v>1.23</v>
      </c>
      <c r="I21" s="93">
        <f t="shared" si="3"/>
        <v>-0.27</v>
      </c>
      <c r="J21" s="91">
        <f>SUM($I$5:I21)</f>
        <v>4.9725000000000055</v>
      </c>
      <c r="K21" s="1"/>
      <c r="L21" s="1"/>
      <c r="M21" s="82">
        <v>16</v>
      </c>
      <c r="N21" s="74">
        <v>0.66666666666666696</v>
      </c>
      <c r="O21" s="78">
        <v>0.6</v>
      </c>
      <c r="P21" s="180">
        <f t="shared" si="4"/>
        <v>2.5425</v>
      </c>
      <c r="Q21" s="61">
        <f t="shared" si="5"/>
        <v>2.1</v>
      </c>
      <c r="R21" s="183">
        <f t="shared" si="6"/>
        <v>-0.44249999999999989</v>
      </c>
      <c r="S21" s="91">
        <f>SUM($R$5:R21)</f>
        <v>8.6859374999999979</v>
      </c>
      <c r="T21" s="1"/>
      <c r="U21" s="1"/>
      <c r="V21" s="82">
        <v>16</v>
      </c>
      <c r="W21" s="74">
        <v>0.66666666666666696</v>
      </c>
      <c r="X21" s="78">
        <v>0.6</v>
      </c>
      <c r="Y21" s="103">
        <f t="shared" si="7"/>
        <v>4.2299999999999995</v>
      </c>
      <c r="Z21" s="61">
        <f t="shared" si="8"/>
        <v>3.5</v>
      </c>
      <c r="AA21" s="93">
        <f t="shared" si="9"/>
        <v>-0.72999999999999954</v>
      </c>
      <c r="AB21" s="91">
        <f>SUM($AA$5:AA21)</f>
        <v>14.556249999999995</v>
      </c>
      <c r="AC21" s="1"/>
      <c r="AD21" s="1"/>
      <c r="AE21" s="82">
        <v>16</v>
      </c>
      <c r="AF21" s="74">
        <v>0.66666666666666696</v>
      </c>
      <c r="AG21" s="78">
        <v>0.6</v>
      </c>
      <c r="AH21" s="99">
        <f t="shared" si="10"/>
        <v>4.2750000000000004</v>
      </c>
      <c r="AI21" s="61">
        <f t="shared" si="1"/>
        <v>3.45</v>
      </c>
      <c r="AJ21" s="93">
        <f t="shared" si="11"/>
        <v>-0.82500000000000018</v>
      </c>
      <c r="AK21" s="91">
        <f>SUM($AJ$5:AJ21)</f>
        <v>13.228124999999999</v>
      </c>
      <c r="AL21" s="61">
        <f t="shared" si="12"/>
        <v>3.45</v>
      </c>
      <c r="AM21" s="173">
        <v>0.66666666666666696</v>
      </c>
      <c r="AN21" s="176">
        <v>0.3</v>
      </c>
      <c r="AO21" s="1"/>
      <c r="AP21" s="1"/>
      <c r="AQ21" s="1"/>
      <c r="AR21" s="1"/>
      <c r="AS21" s="1"/>
      <c r="AT21" s="1"/>
    </row>
    <row r="22" spans="1:46" x14ac:dyDescent="0.25">
      <c r="A22" s="1"/>
      <c r="B22" s="1"/>
      <c r="C22" s="1"/>
      <c r="D22" s="82">
        <v>17</v>
      </c>
      <c r="E22" s="74">
        <v>0.70833333333333304</v>
      </c>
      <c r="F22" s="78">
        <v>0.7</v>
      </c>
      <c r="G22" s="99">
        <f t="shared" si="2"/>
        <v>1.75</v>
      </c>
      <c r="H22" s="61">
        <f t="shared" si="0"/>
        <v>1.23</v>
      </c>
      <c r="I22" s="93">
        <f t="shared" si="3"/>
        <v>-0.52</v>
      </c>
      <c r="J22" s="91">
        <f>SUM($I$5:I22)</f>
        <v>4.4525000000000059</v>
      </c>
      <c r="K22" s="1"/>
      <c r="L22" s="1"/>
      <c r="M22" s="82">
        <v>17</v>
      </c>
      <c r="N22" s="74">
        <v>0.70833333333333304</v>
      </c>
      <c r="O22" s="78">
        <v>0.7</v>
      </c>
      <c r="P22" s="180">
        <f t="shared" si="4"/>
        <v>2.9662500000000001</v>
      </c>
      <c r="Q22" s="61">
        <f t="shared" si="5"/>
        <v>2.1</v>
      </c>
      <c r="R22" s="183">
        <f t="shared" si="6"/>
        <v>-0.86624999999999996</v>
      </c>
      <c r="S22" s="91">
        <f>SUM($R$5:R22)</f>
        <v>7.8196874999999979</v>
      </c>
      <c r="T22" s="1"/>
      <c r="U22" s="1"/>
      <c r="V22" s="82">
        <v>17</v>
      </c>
      <c r="W22" s="74">
        <v>0.70833333333333304</v>
      </c>
      <c r="X22" s="78">
        <v>0.7</v>
      </c>
      <c r="Y22" s="103">
        <f t="shared" si="7"/>
        <v>4.9349999999999996</v>
      </c>
      <c r="Z22" s="61">
        <f t="shared" si="8"/>
        <v>3.5</v>
      </c>
      <c r="AA22" s="93">
        <f t="shared" si="9"/>
        <v>-1.4349999999999996</v>
      </c>
      <c r="AB22" s="91">
        <f>SUM($AA$5:AA22)</f>
        <v>13.121249999999996</v>
      </c>
      <c r="AC22" s="1"/>
      <c r="AD22" s="1"/>
      <c r="AE22" s="82">
        <v>17</v>
      </c>
      <c r="AF22" s="74">
        <v>0.70833333333333304</v>
      </c>
      <c r="AG22" s="78">
        <v>0.7</v>
      </c>
      <c r="AH22" s="99">
        <f t="shared" si="10"/>
        <v>4.9874999999999998</v>
      </c>
      <c r="AI22" s="61">
        <f t="shared" si="1"/>
        <v>3.45</v>
      </c>
      <c r="AJ22" s="93">
        <f t="shared" si="11"/>
        <v>-1.5374999999999996</v>
      </c>
      <c r="AK22" s="91">
        <f>SUM($AJ$5:AJ22)</f>
        <v>11.690624999999999</v>
      </c>
      <c r="AL22" s="61">
        <f t="shared" si="12"/>
        <v>3.45</v>
      </c>
      <c r="AM22" s="174" t="s">
        <v>191</v>
      </c>
      <c r="AN22" s="174">
        <f>SUM(AN13:AN21)</f>
        <v>2.6999999999999997</v>
      </c>
      <c r="AO22" s="1"/>
      <c r="AP22" s="1"/>
      <c r="AQ22" s="1"/>
      <c r="AR22" s="1"/>
      <c r="AS22" s="1"/>
      <c r="AT22" s="1"/>
    </row>
    <row r="23" spans="1:46" x14ac:dyDescent="0.25">
      <c r="A23" s="1"/>
      <c r="B23" s="1"/>
      <c r="C23" s="1"/>
      <c r="D23" s="82">
        <v>18</v>
      </c>
      <c r="E23" s="74">
        <v>0.75</v>
      </c>
      <c r="F23" s="78">
        <v>0.8</v>
      </c>
      <c r="G23" s="99">
        <f t="shared" si="2"/>
        <v>2</v>
      </c>
      <c r="H23" s="61">
        <f t="shared" si="0"/>
        <v>1.23</v>
      </c>
      <c r="I23" s="93">
        <f t="shared" si="3"/>
        <v>-0.77</v>
      </c>
      <c r="J23" s="91">
        <f>SUM($I$5:I23)</f>
        <v>3.6825000000000059</v>
      </c>
      <c r="K23" s="1"/>
      <c r="L23" s="1"/>
      <c r="M23" s="82">
        <v>18</v>
      </c>
      <c r="N23" s="74">
        <v>0.75</v>
      </c>
      <c r="O23" s="78">
        <v>0.8</v>
      </c>
      <c r="P23" s="180">
        <f t="shared" si="4"/>
        <v>3.39</v>
      </c>
      <c r="Q23" s="61">
        <f t="shared" si="5"/>
        <v>2.1</v>
      </c>
      <c r="R23" s="183">
        <f t="shared" si="6"/>
        <v>-1.29</v>
      </c>
      <c r="S23" s="91">
        <f>SUM($R$5:R23)</f>
        <v>6.5296874999999979</v>
      </c>
      <c r="T23" s="1"/>
      <c r="U23" s="1"/>
      <c r="V23" s="82">
        <v>18</v>
      </c>
      <c r="W23" s="74">
        <v>0.75</v>
      </c>
      <c r="X23" s="78">
        <v>0.8</v>
      </c>
      <c r="Y23" s="103">
        <f t="shared" si="7"/>
        <v>5.64</v>
      </c>
      <c r="Z23" s="61">
        <f t="shared" si="8"/>
        <v>3.5</v>
      </c>
      <c r="AA23" s="93">
        <f t="shared" si="9"/>
        <v>-2.1399999999999997</v>
      </c>
      <c r="AB23" s="91">
        <f>SUM($AA$5:AA23)</f>
        <v>10.981249999999996</v>
      </c>
      <c r="AC23" s="1"/>
      <c r="AD23" s="1"/>
      <c r="AE23" s="82">
        <v>18</v>
      </c>
      <c r="AF23" s="74">
        <v>0.75</v>
      </c>
      <c r="AG23" s="78">
        <v>0.8</v>
      </c>
      <c r="AH23" s="99">
        <f>AG23*2.5*$AE$3</f>
        <v>5.7</v>
      </c>
      <c r="AI23" s="61">
        <f t="shared" si="1"/>
        <v>3.45</v>
      </c>
      <c r="AJ23" s="93">
        <f t="shared" si="11"/>
        <v>-2.25</v>
      </c>
      <c r="AK23" s="91">
        <f>SUM($AJ$5:AJ23)</f>
        <v>9.4406249999999989</v>
      </c>
      <c r="AL23" s="61">
        <f t="shared" si="12"/>
        <v>3.45</v>
      </c>
      <c r="AM23" s="175" t="s">
        <v>194</v>
      </c>
      <c r="AN23" s="175">
        <f>AN22/24</f>
        <v>0.11249999999999999</v>
      </c>
      <c r="AO23" s="1"/>
      <c r="AP23" s="1"/>
      <c r="AQ23" s="1"/>
      <c r="AR23" s="1"/>
      <c r="AS23" s="1"/>
      <c r="AT23" s="1"/>
    </row>
    <row r="24" spans="1:46" x14ac:dyDescent="0.25">
      <c r="A24" s="1"/>
      <c r="B24" s="1"/>
      <c r="C24" s="1"/>
      <c r="D24" s="82">
        <v>19</v>
      </c>
      <c r="E24" s="74">
        <v>0.79166666666666696</v>
      </c>
      <c r="F24" s="78">
        <v>0.8</v>
      </c>
      <c r="G24" s="99">
        <f t="shared" si="2"/>
        <v>2</v>
      </c>
      <c r="H24" s="61">
        <f t="shared" si="0"/>
        <v>1.23</v>
      </c>
      <c r="I24" s="93">
        <f t="shared" si="3"/>
        <v>-0.77</v>
      </c>
      <c r="J24" s="91">
        <f>SUM($I$5:I24)</f>
        <v>2.9125000000000059</v>
      </c>
      <c r="K24" s="1"/>
      <c r="L24" s="1"/>
      <c r="M24" s="82">
        <v>19</v>
      </c>
      <c r="N24" s="74">
        <v>0.79166666666666696</v>
      </c>
      <c r="O24" s="78">
        <v>0.8</v>
      </c>
      <c r="P24" s="180">
        <f t="shared" si="4"/>
        <v>3.39</v>
      </c>
      <c r="Q24" s="61">
        <f t="shared" si="5"/>
        <v>2.1</v>
      </c>
      <c r="R24" s="183">
        <f t="shared" si="6"/>
        <v>-1.29</v>
      </c>
      <c r="S24" s="91">
        <f>SUM($R$5:R24)</f>
        <v>5.2396874999999978</v>
      </c>
      <c r="T24" s="1"/>
      <c r="U24" s="1"/>
      <c r="V24" s="82">
        <v>19</v>
      </c>
      <c r="W24" s="74">
        <v>0.79166666666666696</v>
      </c>
      <c r="X24" s="78">
        <v>0.8</v>
      </c>
      <c r="Y24" s="103">
        <f t="shared" si="7"/>
        <v>5.64</v>
      </c>
      <c r="Z24" s="61">
        <f t="shared" si="8"/>
        <v>3.5</v>
      </c>
      <c r="AA24" s="93">
        <f t="shared" si="9"/>
        <v>-2.1399999999999997</v>
      </c>
      <c r="AB24" s="91">
        <f>SUM($AA$5:AA24)</f>
        <v>8.8412499999999952</v>
      </c>
      <c r="AC24" s="1"/>
      <c r="AD24" s="1"/>
      <c r="AE24" s="82">
        <v>19</v>
      </c>
      <c r="AF24" s="74">
        <v>0.79166666666666696</v>
      </c>
      <c r="AG24" s="78">
        <v>0.8</v>
      </c>
      <c r="AH24" s="99">
        <f t="shared" si="10"/>
        <v>5.7</v>
      </c>
      <c r="AI24" s="61">
        <f t="shared" si="1"/>
        <v>3.45</v>
      </c>
      <c r="AJ24" s="93">
        <f t="shared" si="11"/>
        <v>-2.25</v>
      </c>
      <c r="AK24" s="91">
        <f>SUM($AJ$5:AJ24)</f>
        <v>7.1906249999999989</v>
      </c>
      <c r="AL24" s="61">
        <f t="shared" si="12"/>
        <v>3.45</v>
      </c>
      <c r="AM24" s="175" t="s">
        <v>192</v>
      </c>
      <c r="AN24" s="175">
        <f>AI5-AN23</f>
        <v>3.3375000000000004</v>
      </c>
      <c r="AO24" s="1"/>
      <c r="AP24" s="1"/>
      <c r="AQ24" s="1"/>
      <c r="AR24" s="1"/>
      <c r="AS24" s="1"/>
      <c r="AT24" s="1"/>
    </row>
    <row r="25" spans="1:46" x14ac:dyDescent="0.25">
      <c r="A25" s="1"/>
      <c r="B25" s="1"/>
      <c r="C25" s="1"/>
      <c r="D25" s="82">
        <v>20</v>
      </c>
      <c r="E25" s="74">
        <v>0.83333333333333304</v>
      </c>
      <c r="F25" s="78">
        <v>0.8</v>
      </c>
      <c r="G25" s="99">
        <f t="shared" si="2"/>
        <v>2</v>
      </c>
      <c r="H25" s="61">
        <f t="shared" si="0"/>
        <v>1.23</v>
      </c>
      <c r="I25" s="93">
        <f t="shared" si="3"/>
        <v>-0.77</v>
      </c>
      <c r="J25" s="91">
        <f>SUM($I$5:I25)</f>
        <v>2.1425000000000058</v>
      </c>
      <c r="K25" s="1"/>
      <c r="L25" s="1"/>
      <c r="M25" s="82">
        <v>20</v>
      </c>
      <c r="N25" s="74">
        <v>0.83333333333333304</v>
      </c>
      <c r="O25" s="78">
        <v>0.8</v>
      </c>
      <c r="P25" s="180">
        <f t="shared" si="4"/>
        <v>3.39</v>
      </c>
      <c r="Q25" s="61">
        <f t="shared" si="5"/>
        <v>2.1</v>
      </c>
      <c r="R25" s="183">
        <f t="shared" si="6"/>
        <v>-1.29</v>
      </c>
      <c r="S25" s="91">
        <f>SUM($R$5:R25)</f>
        <v>3.9496874999999978</v>
      </c>
      <c r="T25" s="1"/>
      <c r="U25" s="1"/>
      <c r="V25" s="82">
        <v>20</v>
      </c>
      <c r="W25" s="74">
        <v>0.83333333333333304</v>
      </c>
      <c r="X25" s="78">
        <v>0.8</v>
      </c>
      <c r="Y25" s="103">
        <f t="shared" si="7"/>
        <v>5.64</v>
      </c>
      <c r="Z25" s="61">
        <f t="shared" si="8"/>
        <v>3.5</v>
      </c>
      <c r="AA25" s="93">
        <f t="shared" si="9"/>
        <v>-2.1399999999999997</v>
      </c>
      <c r="AB25" s="91">
        <f>SUM($AA$5:AA25)</f>
        <v>6.7012499999999955</v>
      </c>
      <c r="AC25" s="1"/>
      <c r="AD25" s="1"/>
      <c r="AE25" s="82">
        <v>20</v>
      </c>
      <c r="AF25" s="74">
        <v>0.83333333333333304</v>
      </c>
      <c r="AG25" s="78">
        <v>0.8</v>
      </c>
      <c r="AH25" s="99">
        <f t="shared" si="10"/>
        <v>5.7</v>
      </c>
      <c r="AI25" s="61">
        <f t="shared" si="1"/>
        <v>3.45</v>
      </c>
      <c r="AJ25" s="93">
        <f t="shared" si="11"/>
        <v>-2.25</v>
      </c>
      <c r="AK25" s="91">
        <f>SUM($AJ$5:AJ25)</f>
        <v>4.9406249999999989</v>
      </c>
      <c r="AL25" s="61">
        <f t="shared" si="12"/>
        <v>3.45</v>
      </c>
      <c r="AM25" s="176" t="s">
        <v>193</v>
      </c>
      <c r="AN25" s="177">
        <f>AN24/AI5</f>
        <v>0.96739130434782616</v>
      </c>
      <c r="AO25" s="1"/>
      <c r="AP25" s="1"/>
      <c r="AQ25" s="1"/>
      <c r="AR25" s="1"/>
      <c r="AS25" s="1"/>
      <c r="AT25" s="1"/>
    </row>
    <row r="26" spans="1:46" x14ac:dyDescent="0.25">
      <c r="A26" s="1"/>
      <c r="B26" s="1"/>
      <c r="C26" s="1"/>
      <c r="D26" s="82">
        <v>21</v>
      </c>
      <c r="E26" s="74">
        <v>0.875</v>
      </c>
      <c r="F26" s="78">
        <v>0.8</v>
      </c>
      <c r="G26" s="99">
        <f t="shared" si="2"/>
        <v>2</v>
      </c>
      <c r="H26" s="61">
        <f t="shared" si="0"/>
        <v>1.23</v>
      </c>
      <c r="I26" s="93">
        <f t="shared" si="3"/>
        <v>-0.77</v>
      </c>
      <c r="J26" s="91">
        <f>SUM($I$5:I26)</f>
        <v>1.3725000000000058</v>
      </c>
      <c r="K26" s="1"/>
      <c r="L26" s="1"/>
      <c r="M26" s="82">
        <v>21</v>
      </c>
      <c r="N26" s="74">
        <v>0.875</v>
      </c>
      <c r="O26" s="78">
        <v>0.8</v>
      </c>
      <c r="P26" s="180">
        <f t="shared" si="4"/>
        <v>3.39</v>
      </c>
      <c r="Q26" s="61">
        <f t="shared" si="5"/>
        <v>2.1</v>
      </c>
      <c r="R26" s="183">
        <f t="shared" si="6"/>
        <v>-1.29</v>
      </c>
      <c r="S26" s="91">
        <f>SUM($R$5:R26)</f>
        <v>2.6596874999999978</v>
      </c>
      <c r="T26" s="1"/>
      <c r="U26" s="1"/>
      <c r="V26" s="82">
        <v>21</v>
      </c>
      <c r="W26" s="74">
        <v>0.875</v>
      </c>
      <c r="X26" s="78">
        <v>0.8</v>
      </c>
      <c r="Y26" s="103">
        <f t="shared" si="7"/>
        <v>5.64</v>
      </c>
      <c r="Z26" s="61">
        <f t="shared" si="8"/>
        <v>3.5</v>
      </c>
      <c r="AA26" s="93">
        <f t="shared" si="9"/>
        <v>-2.1399999999999997</v>
      </c>
      <c r="AB26" s="91">
        <f>SUM($AA$5:AA26)</f>
        <v>4.5612499999999958</v>
      </c>
      <c r="AC26" s="1"/>
      <c r="AD26" s="1"/>
      <c r="AE26" s="82">
        <v>21</v>
      </c>
      <c r="AF26" s="74">
        <v>0.875</v>
      </c>
      <c r="AG26" s="78">
        <v>0.8</v>
      </c>
      <c r="AH26" s="99">
        <f t="shared" si="10"/>
        <v>5.7</v>
      </c>
      <c r="AI26" s="61">
        <f t="shared" si="1"/>
        <v>3.45</v>
      </c>
      <c r="AJ26" s="93">
        <f t="shared" si="11"/>
        <v>-2.25</v>
      </c>
      <c r="AK26" s="91">
        <f>SUM($AJ$5:AJ26)</f>
        <v>2.6906249999999989</v>
      </c>
      <c r="AL26" s="61">
        <f t="shared" si="12"/>
        <v>3.45</v>
      </c>
      <c r="AM26" s="1"/>
      <c r="AN26" s="1"/>
      <c r="AO26" s="1"/>
      <c r="AP26" s="1"/>
      <c r="AQ26" s="1"/>
      <c r="AR26" s="1"/>
      <c r="AS26" s="1"/>
      <c r="AT26" s="1"/>
    </row>
    <row r="27" spans="1:46" x14ac:dyDescent="0.25">
      <c r="A27" s="1"/>
      <c r="B27" s="1"/>
      <c r="C27" s="1"/>
      <c r="D27" s="83">
        <v>22</v>
      </c>
      <c r="E27" s="75">
        <v>0.91666666666666696</v>
      </c>
      <c r="F27" s="79">
        <v>0.6</v>
      </c>
      <c r="G27" s="99">
        <f t="shared" si="2"/>
        <v>1.5</v>
      </c>
      <c r="H27" s="61">
        <f t="shared" si="0"/>
        <v>1.23</v>
      </c>
      <c r="I27" s="93">
        <f t="shared" si="3"/>
        <v>-0.27</v>
      </c>
      <c r="J27" s="91">
        <f>SUM($I$5:I27)</f>
        <v>1.1025000000000058</v>
      </c>
      <c r="K27" s="1"/>
      <c r="L27" s="1"/>
      <c r="M27" s="83">
        <v>22</v>
      </c>
      <c r="N27" s="75">
        <v>0.91666666666666696</v>
      </c>
      <c r="O27" s="79">
        <v>0.6</v>
      </c>
      <c r="P27" s="180">
        <f t="shared" si="4"/>
        <v>2.5425</v>
      </c>
      <c r="Q27" s="61">
        <f t="shared" si="5"/>
        <v>2.1</v>
      </c>
      <c r="R27" s="183">
        <f t="shared" si="6"/>
        <v>-0.44249999999999989</v>
      </c>
      <c r="S27" s="91">
        <f>SUM($R$5:R27)</f>
        <v>2.2171874999999979</v>
      </c>
      <c r="T27" s="1"/>
      <c r="U27" s="1"/>
      <c r="V27" s="83">
        <v>22</v>
      </c>
      <c r="W27" s="75">
        <v>0.91666666666666696</v>
      </c>
      <c r="X27" s="79">
        <v>0.6</v>
      </c>
      <c r="Y27" s="103">
        <f t="shared" si="7"/>
        <v>4.2299999999999995</v>
      </c>
      <c r="Z27" s="61">
        <f t="shared" si="8"/>
        <v>3.5</v>
      </c>
      <c r="AA27" s="93">
        <f t="shared" si="9"/>
        <v>-0.72999999999999954</v>
      </c>
      <c r="AB27" s="91">
        <f>SUM($AA$5:AA27)</f>
        <v>3.8312499999999963</v>
      </c>
      <c r="AC27" s="1"/>
      <c r="AD27" s="1"/>
      <c r="AE27" s="83">
        <v>22</v>
      </c>
      <c r="AF27" s="75">
        <v>0.91666666666666696</v>
      </c>
      <c r="AG27" s="79">
        <v>0.6</v>
      </c>
      <c r="AH27" s="99">
        <f t="shared" si="10"/>
        <v>4.2750000000000004</v>
      </c>
      <c r="AI27" s="61">
        <f t="shared" si="1"/>
        <v>3.45</v>
      </c>
      <c r="AJ27" s="93">
        <f t="shared" si="11"/>
        <v>-0.82500000000000018</v>
      </c>
      <c r="AK27" s="91">
        <f>SUM($AJ$5:AJ27)</f>
        <v>1.8656249999999988</v>
      </c>
      <c r="AL27" s="61">
        <f t="shared" si="12"/>
        <v>3.45</v>
      </c>
      <c r="AM27" s="1"/>
      <c r="AN27" s="1"/>
      <c r="AO27" s="1"/>
      <c r="AP27" s="1"/>
      <c r="AQ27" s="1"/>
      <c r="AR27" s="1"/>
      <c r="AS27" s="1"/>
      <c r="AT27" s="1"/>
    </row>
    <row r="28" spans="1:46" ht="15.75" thickBot="1" x14ac:dyDescent="0.3">
      <c r="A28" s="1"/>
      <c r="B28" s="1"/>
      <c r="C28" s="1"/>
      <c r="D28" s="84">
        <v>23</v>
      </c>
      <c r="E28" s="76">
        <v>0.95833333333333304</v>
      </c>
      <c r="F28" s="80">
        <v>0.4</v>
      </c>
      <c r="G28" s="100">
        <f t="shared" si="2"/>
        <v>1</v>
      </c>
      <c r="H28" s="62">
        <f t="shared" si="0"/>
        <v>1.23</v>
      </c>
      <c r="I28" s="93">
        <f t="shared" si="3"/>
        <v>0.22999999999999998</v>
      </c>
      <c r="J28" s="91">
        <f>SUM($I$5:I28)</f>
        <v>1.3325000000000058</v>
      </c>
      <c r="K28" s="1"/>
      <c r="L28" s="1"/>
      <c r="M28" s="84">
        <v>23</v>
      </c>
      <c r="N28" s="76">
        <v>0.95833333333333304</v>
      </c>
      <c r="O28" s="80">
        <v>0.4</v>
      </c>
      <c r="P28" s="181">
        <f t="shared" si="4"/>
        <v>1.6950000000000001</v>
      </c>
      <c r="Q28" s="62">
        <f t="shared" si="5"/>
        <v>2.1</v>
      </c>
      <c r="R28" s="183">
        <f t="shared" si="6"/>
        <v>0.40500000000000003</v>
      </c>
      <c r="S28" s="91">
        <f>SUM($R$5:R28)</f>
        <v>2.6221874999999981</v>
      </c>
      <c r="T28" s="1"/>
      <c r="U28" s="1"/>
      <c r="V28" s="84">
        <v>23</v>
      </c>
      <c r="W28" s="76">
        <v>0.95833333333333304</v>
      </c>
      <c r="X28" s="80">
        <v>0.4</v>
      </c>
      <c r="Y28" s="105">
        <f t="shared" si="7"/>
        <v>2.82</v>
      </c>
      <c r="Z28" s="62">
        <f>$Z$2</f>
        <v>3.5</v>
      </c>
      <c r="AA28" s="93">
        <f t="shared" si="9"/>
        <v>0.68000000000000016</v>
      </c>
      <c r="AB28" s="91">
        <f>SUM($AA$5:AA28)</f>
        <v>4.5112499999999969</v>
      </c>
      <c r="AC28" s="1"/>
      <c r="AD28" s="1"/>
      <c r="AE28" s="84">
        <v>23</v>
      </c>
      <c r="AF28" s="76">
        <v>0.95833333333333304</v>
      </c>
      <c r="AG28" s="80">
        <v>0.4</v>
      </c>
      <c r="AH28" s="100">
        <f t="shared" si="10"/>
        <v>2.85</v>
      </c>
      <c r="AI28" s="62">
        <f t="shared" si="1"/>
        <v>3.45</v>
      </c>
      <c r="AJ28" s="93">
        <f t="shared" si="11"/>
        <v>0.60000000000000009</v>
      </c>
      <c r="AK28" s="91">
        <f>SUM($AJ$5:AJ28)</f>
        <v>2.4656249999999988</v>
      </c>
      <c r="AL28" s="62">
        <f t="shared" si="12"/>
        <v>3.45</v>
      </c>
      <c r="AM28" s="1"/>
      <c r="AN28" s="1"/>
      <c r="AO28" s="1"/>
      <c r="AP28" s="1"/>
      <c r="AQ28" s="1"/>
      <c r="AR28" s="1"/>
      <c r="AS28" s="1"/>
      <c r="AT28" s="1"/>
    </row>
    <row r="29" spans="1:46" x14ac:dyDescent="0.25">
      <c r="A29" s="1"/>
      <c r="B29" s="1"/>
      <c r="C29" s="1"/>
      <c r="D29" s="1"/>
      <c r="E29" s="1"/>
      <c r="F29" s="1"/>
      <c r="G29" s="13"/>
      <c r="H29" s="1"/>
      <c r="I29" s="64" t="s">
        <v>106</v>
      </c>
      <c r="J29" s="96">
        <f>1-(1.23/2)</f>
        <v>0.38500000000000001</v>
      </c>
      <c r="K29" s="1"/>
      <c r="L29" s="1"/>
      <c r="M29" s="1"/>
      <c r="N29" s="1"/>
      <c r="O29" s="1"/>
      <c r="P29" s="1"/>
      <c r="Q29" s="1"/>
      <c r="R29" s="64" t="s">
        <v>106</v>
      </c>
      <c r="S29" s="69">
        <f>1-(Q5/MAX(P5:P28))</f>
        <v>0.38053097345132747</v>
      </c>
      <c r="T29" s="1"/>
      <c r="U29" s="1"/>
      <c r="V29" s="1"/>
      <c r="W29" s="1"/>
      <c r="X29" s="1"/>
      <c r="Y29" s="1"/>
      <c r="Z29" s="1"/>
      <c r="AA29" s="64" t="s">
        <v>106</v>
      </c>
      <c r="AB29" s="69">
        <f>1-(Z5/MAX(Y5:Y28))</f>
        <v>0.37943262411347511</v>
      </c>
      <c r="AC29" s="1"/>
      <c r="AD29" s="1"/>
      <c r="AE29" s="1"/>
      <c r="AF29" s="1"/>
      <c r="AG29" s="1"/>
      <c r="AH29" s="1"/>
      <c r="AI29" s="1"/>
      <c r="AJ29" s="64" t="s">
        <v>106</v>
      </c>
      <c r="AK29" s="69">
        <f>1-(AI5/MAX(AH5:AH28))</f>
        <v>0.39473684210526316</v>
      </c>
      <c r="AL29" s="1"/>
      <c r="AM29" s="1"/>
      <c r="AN29" s="1"/>
      <c r="AO29" s="1"/>
      <c r="AP29" s="1"/>
      <c r="AQ29" s="1"/>
      <c r="AR29" s="1"/>
      <c r="AS29" s="1"/>
      <c r="AT29" s="1"/>
    </row>
    <row r="30" spans="1:46" x14ac:dyDescent="0.25">
      <c r="A30" s="1"/>
      <c r="B30" s="1"/>
      <c r="C30" s="1"/>
      <c r="D30" s="1"/>
      <c r="E30" s="1"/>
      <c r="F30" s="1"/>
      <c r="G30" s="1"/>
      <c r="H30" s="1"/>
      <c r="I30" s="65" t="s">
        <v>109</v>
      </c>
      <c r="J30" s="94">
        <f>MAX(J5:J28)</f>
        <v>6.0275000000000016</v>
      </c>
      <c r="K30" s="1"/>
      <c r="L30" s="1"/>
      <c r="M30" s="1"/>
      <c r="N30" s="1"/>
      <c r="O30" s="1"/>
      <c r="P30" s="1"/>
      <c r="Q30" s="1"/>
      <c r="R30" s="65" t="s">
        <v>109</v>
      </c>
      <c r="S30" s="94">
        <f>MAX(S5:S28)</f>
        <v>10.337812499999998</v>
      </c>
      <c r="T30" s="1"/>
      <c r="U30" s="1"/>
      <c r="V30" s="1"/>
      <c r="W30" s="1"/>
      <c r="X30" s="1"/>
      <c r="Y30" s="1"/>
      <c r="Z30" s="1"/>
      <c r="AA30" s="65" t="s">
        <v>109</v>
      </c>
      <c r="AB30" s="97">
        <f>MAX(AB5:AB28)</f>
        <v>17.248749999999998</v>
      </c>
      <c r="AC30" s="1"/>
      <c r="AD30" s="1"/>
      <c r="AE30" s="1"/>
      <c r="AF30" s="1"/>
      <c r="AG30" s="1"/>
      <c r="AH30" s="1"/>
      <c r="AI30" s="1"/>
      <c r="AJ30" s="65" t="s">
        <v>109</v>
      </c>
      <c r="AK30" s="97">
        <f>MAX(AK5:AK28)</f>
        <v>16.734375</v>
      </c>
      <c r="AL30" s="1"/>
      <c r="AM30" s="1"/>
      <c r="AN30" s="1"/>
      <c r="AO30" s="1"/>
      <c r="AP30" s="1"/>
      <c r="AQ30" s="1"/>
      <c r="AR30" s="1"/>
      <c r="AS30" s="1"/>
      <c r="AT30" s="1"/>
    </row>
    <row r="31" spans="1:46" x14ac:dyDescent="0.25">
      <c r="A31" s="1"/>
      <c r="B31" s="1"/>
      <c r="C31" s="1"/>
      <c r="D31" s="1"/>
      <c r="E31" s="1"/>
      <c r="F31" s="1"/>
      <c r="G31" s="1"/>
      <c r="H31" s="1"/>
      <c r="I31" s="65" t="s">
        <v>120</v>
      </c>
      <c r="J31" s="94">
        <f>MAX(I5:I28)</f>
        <v>0.98</v>
      </c>
      <c r="K31" s="1"/>
      <c r="L31" s="1"/>
      <c r="M31" s="1"/>
      <c r="N31" s="1"/>
      <c r="O31" s="1"/>
      <c r="P31" s="1"/>
      <c r="Q31" s="1"/>
      <c r="R31" s="65" t="s">
        <v>110</v>
      </c>
      <c r="S31" s="94">
        <f>MAX(R5:R28)</f>
        <v>1.67625</v>
      </c>
      <c r="T31" s="1"/>
      <c r="U31" s="1"/>
      <c r="V31" s="1"/>
      <c r="W31" s="1"/>
      <c r="X31" s="1"/>
      <c r="Y31" s="1"/>
      <c r="Z31" s="1"/>
      <c r="AA31" s="65" t="s">
        <v>110</v>
      </c>
      <c r="AB31" s="94">
        <f>MAX(AA5:AA28)</f>
        <v>2.7949999999999999</v>
      </c>
      <c r="AC31" s="1"/>
      <c r="AD31" s="1"/>
      <c r="AE31" s="1"/>
      <c r="AF31" s="1"/>
      <c r="AG31" s="1"/>
      <c r="AH31" s="1"/>
      <c r="AI31" s="1"/>
      <c r="AJ31" s="65" t="s">
        <v>110</v>
      </c>
      <c r="AK31" s="94">
        <f>MAX(AJ5:AJ28)</f>
        <v>2.7375000000000003</v>
      </c>
      <c r="AL31" s="1"/>
      <c r="AM31" s="1"/>
      <c r="AN31" s="1"/>
      <c r="AO31" s="1"/>
      <c r="AP31" s="1"/>
      <c r="AQ31" s="1"/>
      <c r="AR31" s="1"/>
      <c r="AS31" s="1"/>
      <c r="AT31" s="1"/>
    </row>
    <row r="32" spans="1:46" ht="15.75" thickBot="1" x14ac:dyDescent="0.3">
      <c r="A32" s="1"/>
      <c r="B32" s="1"/>
      <c r="C32" s="1"/>
      <c r="D32" s="1"/>
      <c r="E32" s="1"/>
      <c r="F32" s="1"/>
      <c r="G32" s="1"/>
      <c r="H32" s="1"/>
      <c r="I32" s="66" t="s">
        <v>111</v>
      </c>
      <c r="J32" s="95">
        <f>MIN(I5:I28)</f>
        <v>-0.77</v>
      </c>
      <c r="K32" s="1"/>
      <c r="L32" s="1"/>
      <c r="M32" s="1"/>
      <c r="N32" s="1"/>
      <c r="O32" s="1"/>
      <c r="P32" s="1"/>
      <c r="Q32" s="1"/>
      <c r="R32" s="66" t="s">
        <v>111</v>
      </c>
      <c r="S32" s="95">
        <f>MIN(R5:R28)</f>
        <v>-1.29</v>
      </c>
      <c r="T32" s="1"/>
      <c r="U32" s="1"/>
      <c r="V32" s="1"/>
      <c r="W32" s="1"/>
      <c r="X32" s="1"/>
      <c r="Y32" s="1"/>
      <c r="Z32" s="1"/>
      <c r="AA32" s="66" t="s">
        <v>111</v>
      </c>
      <c r="AB32" s="95">
        <f>MIN(AA5:AA28)</f>
        <v>-2.1399999999999997</v>
      </c>
      <c r="AC32" s="1"/>
      <c r="AD32" s="1"/>
      <c r="AE32" s="1"/>
      <c r="AF32" s="1"/>
      <c r="AG32" s="1"/>
      <c r="AH32" s="1"/>
      <c r="AI32" s="1"/>
      <c r="AJ32" s="66" t="s">
        <v>111</v>
      </c>
      <c r="AK32" s="95">
        <f>MIN(AJ5:AJ28)</f>
        <v>-2.25</v>
      </c>
      <c r="AL32" s="1"/>
      <c r="AM32" s="1"/>
      <c r="AN32" s="1"/>
      <c r="AO32" s="1"/>
      <c r="AP32" s="1"/>
      <c r="AQ32" s="1"/>
      <c r="AR32" s="1"/>
      <c r="AS32" s="1"/>
      <c r="AT32" s="1"/>
    </row>
    <row r="33" spans="1:4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row>
    <row r="34" spans="1:4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5.75" thickBot="1" x14ac:dyDescent="0.3">
      <c r="A35" s="1"/>
      <c r="B35" s="1"/>
      <c r="C35" s="1"/>
      <c r="D35" s="1" t="s">
        <v>124</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5.75" thickBot="1" x14ac:dyDescent="0.3">
      <c r="A36" s="1"/>
      <c r="B36" s="1"/>
      <c r="C36" s="1"/>
      <c r="D36" s="1"/>
      <c r="E36" s="1"/>
      <c r="F36" s="1"/>
      <c r="G36" s="1"/>
      <c r="H36" s="1"/>
      <c r="I36" s="1"/>
      <c r="J36" s="1"/>
      <c r="K36" s="1"/>
      <c r="L36" s="1"/>
      <c r="M36" s="489" t="s">
        <v>118</v>
      </c>
      <c r="N36" s="491"/>
      <c r="O36" s="1"/>
      <c r="P36" s="484" t="s">
        <v>119</v>
      </c>
      <c r="Q36" s="485"/>
      <c r="R36" s="70" t="s">
        <v>113</v>
      </c>
      <c r="S36" s="185" t="s">
        <v>214</v>
      </c>
      <c r="T36" s="186">
        <v>4.68</v>
      </c>
      <c r="U36" s="1"/>
      <c r="V36" s="1"/>
      <c r="W36" s="1"/>
      <c r="X36" s="1"/>
      <c r="Y36" s="1"/>
      <c r="Z36" s="1"/>
      <c r="AA36" s="1"/>
      <c r="AB36" s="1"/>
      <c r="AC36" s="1"/>
      <c r="AD36" s="1"/>
      <c r="AE36" s="489" t="s">
        <v>118</v>
      </c>
      <c r="AF36" s="490"/>
      <c r="AG36" s="491"/>
      <c r="AH36" s="484" t="s">
        <v>119</v>
      </c>
      <c r="AI36" s="485"/>
      <c r="AJ36" s="70" t="s">
        <v>114</v>
      </c>
      <c r="AK36" s="185" t="s">
        <v>214</v>
      </c>
      <c r="AL36" s="186">
        <v>4.68</v>
      </c>
      <c r="AM36" s="1"/>
      <c r="AN36" s="1"/>
      <c r="AO36" s="1"/>
      <c r="AP36" s="1"/>
      <c r="AQ36" s="1"/>
      <c r="AR36" s="1"/>
      <c r="AS36" s="1"/>
      <c r="AT36" s="1"/>
    </row>
    <row r="37" spans="1:46" ht="15.75" thickBot="1" x14ac:dyDescent="0.3">
      <c r="A37" s="1"/>
      <c r="B37" s="1"/>
      <c r="C37" s="1"/>
      <c r="D37" s="1"/>
      <c r="E37" s="1"/>
      <c r="F37" s="1"/>
      <c r="G37" s="1"/>
      <c r="H37" s="1"/>
      <c r="I37" s="1"/>
      <c r="J37" s="1"/>
      <c r="K37" s="1"/>
      <c r="L37" s="1"/>
      <c r="M37" s="486" t="s">
        <v>216</v>
      </c>
      <c r="N37" s="488"/>
      <c r="O37" s="1"/>
      <c r="P37" s="88" t="s">
        <v>121</v>
      </c>
      <c r="Q37" s="72">
        <v>2.1</v>
      </c>
      <c r="R37" s="72" t="s">
        <v>104</v>
      </c>
      <c r="S37" s="67" t="s">
        <v>105</v>
      </c>
      <c r="T37" s="1"/>
      <c r="U37" s="1"/>
      <c r="V37" s="1"/>
      <c r="W37" s="1"/>
      <c r="X37" s="1"/>
      <c r="Y37" s="1"/>
      <c r="Z37" s="1"/>
      <c r="AA37" s="1"/>
      <c r="AB37" s="1"/>
      <c r="AC37" s="1"/>
      <c r="AD37" s="1"/>
      <c r="AE37" s="486" t="s">
        <v>218</v>
      </c>
      <c r="AF37" s="487"/>
      <c r="AG37" s="488"/>
      <c r="AH37" s="88" t="s">
        <v>103</v>
      </c>
      <c r="AI37" s="72">
        <v>4.4000000000000004</v>
      </c>
      <c r="AJ37" s="72" t="s">
        <v>104</v>
      </c>
      <c r="AK37" s="67" t="s">
        <v>105</v>
      </c>
      <c r="AL37" s="1"/>
      <c r="AM37" s="1"/>
      <c r="AN37" s="1"/>
      <c r="AO37" s="1"/>
      <c r="AP37" s="1"/>
      <c r="AQ37" s="1"/>
      <c r="AR37" s="1"/>
      <c r="AS37" s="1"/>
      <c r="AT37" s="1"/>
    </row>
    <row r="38" spans="1:46" x14ac:dyDescent="0.25">
      <c r="A38" s="1"/>
      <c r="B38" s="1"/>
      <c r="C38" s="1"/>
      <c r="D38" s="1"/>
      <c r="E38" s="1"/>
      <c r="F38" s="1"/>
      <c r="G38" s="1"/>
      <c r="H38" s="1"/>
      <c r="I38" s="1"/>
      <c r="J38" s="1"/>
      <c r="K38" s="1"/>
      <c r="L38" s="1"/>
      <c r="M38" s="1">
        <v>1.6950000000000001</v>
      </c>
      <c r="N38" s="1"/>
      <c r="O38" s="1"/>
      <c r="P38" s="1"/>
      <c r="Q38" s="1"/>
      <c r="R38" s="1"/>
      <c r="S38" s="1"/>
      <c r="T38" s="1"/>
      <c r="U38" s="1"/>
      <c r="V38" s="1"/>
      <c r="W38" s="1"/>
      <c r="X38" s="1"/>
      <c r="Y38" s="1"/>
      <c r="Z38" s="1"/>
      <c r="AA38" s="1"/>
      <c r="AB38" s="1"/>
      <c r="AC38" s="1"/>
      <c r="AD38" s="1"/>
      <c r="AE38" s="1">
        <v>3.605</v>
      </c>
      <c r="AF38" s="1"/>
      <c r="AG38" s="1"/>
      <c r="AH38" s="1"/>
      <c r="AI38" s="1"/>
      <c r="AJ38" s="1"/>
      <c r="AK38" s="1"/>
      <c r="AL38" s="1"/>
      <c r="AM38" s="1"/>
      <c r="AN38" s="1"/>
      <c r="AO38" s="1"/>
      <c r="AP38" s="1"/>
      <c r="AQ38" s="1"/>
      <c r="AR38" s="1"/>
      <c r="AS38" s="1"/>
      <c r="AT38" s="1"/>
    </row>
    <row r="39" spans="1:46" ht="15.75" thickBot="1" x14ac:dyDescent="0.3">
      <c r="A39" s="1"/>
      <c r="B39" s="1"/>
      <c r="C39" s="1"/>
      <c r="D39" s="1"/>
      <c r="E39" s="1"/>
      <c r="F39" s="1"/>
      <c r="G39" s="1"/>
      <c r="H39" s="1"/>
      <c r="I39" s="1"/>
      <c r="J39" s="1"/>
      <c r="K39" s="1"/>
      <c r="L39" s="1"/>
      <c r="M39" s="85" t="s">
        <v>99</v>
      </c>
      <c r="N39" s="85" t="s">
        <v>100</v>
      </c>
      <c r="O39" s="85" t="s">
        <v>102</v>
      </c>
      <c r="P39" s="85" t="s">
        <v>8</v>
      </c>
      <c r="Q39" s="184" t="s">
        <v>101</v>
      </c>
      <c r="R39" s="85" t="s">
        <v>115</v>
      </c>
      <c r="S39" s="85" t="s">
        <v>116</v>
      </c>
      <c r="T39" s="184" t="s">
        <v>213</v>
      </c>
      <c r="U39" s="1"/>
      <c r="V39" s="1"/>
      <c r="W39" s="1"/>
      <c r="X39" s="1"/>
      <c r="Y39" s="1"/>
      <c r="Z39" s="1"/>
      <c r="AA39" s="1"/>
      <c r="AB39" s="1"/>
      <c r="AC39" s="1"/>
      <c r="AD39" s="1"/>
      <c r="AE39" s="85" t="s">
        <v>99</v>
      </c>
      <c r="AF39" s="85" t="s">
        <v>100</v>
      </c>
      <c r="AG39" s="85" t="s">
        <v>102</v>
      </c>
      <c r="AH39" s="85" t="s">
        <v>8</v>
      </c>
      <c r="AI39" s="85" t="s">
        <v>101</v>
      </c>
      <c r="AJ39" s="85" t="s">
        <v>115</v>
      </c>
      <c r="AK39" s="85" t="s">
        <v>116</v>
      </c>
      <c r="AL39" s="184" t="s">
        <v>213</v>
      </c>
      <c r="AM39" s="1"/>
      <c r="AN39" s="1"/>
      <c r="AO39" s="1"/>
      <c r="AP39" s="1"/>
      <c r="AQ39" s="1"/>
      <c r="AR39" s="1"/>
      <c r="AS39" s="1"/>
      <c r="AT39" s="1"/>
    </row>
    <row r="40" spans="1:46" x14ac:dyDescent="0.25">
      <c r="A40" s="1"/>
      <c r="B40" s="1"/>
      <c r="C40" s="1"/>
      <c r="D40" s="1"/>
      <c r="E40" s="1"/>
      <c r="F40" s="1"/>
      <c r="G40" s="1"/>
      <c r="H40" s="1"/>
      <c r="I40" s="1"/>
      <c r="J40" s="1"/>
      <c r="K40" s="1"/>
      <c r="L40" s="1"/>
      <c r="M40" s="81">
        <v>0</v>
      </c>
      <c r="N40" s="73">
        <v>0</v>
      </c>
      <c r="O40" s="77">
        <v>0.1</v>
      </c>
      <c r="P40" s="179">
        <f>O40*2.5*$M$3</f>
        <v>0.42375000000000002</v>
      </c>
      <c r="Q40" s="60">
        <f>$Q$2</f>
        <v>2.1</v>
      </c>
      <c r="R40" s="182">
        <f>Q40-P40</f>
        <v>1.67625</v>
      </c>
      <c r="S40" s="187">
        <f>R40</f>
        <v>1.67625</v>
      </c>
      <c r="T40" s="189">
        <f>S40+3*$T$36</f>
        <v>15.716249999999999</v>
      </c>
      <c r="U40" s="1"/>
      <c r="V40" s="1"/>
      <c r="W40" s="1"/>
      <c r="X40" s="1"/>
      <c r="Y40" s="1"/>
      <c r="Z40" s="1"/>
      <c r="AA40" s="1"/>
      <c r="AB40" s="1"/>
      <c r="AC40" s="1"/>
      <c r="AD40" s="1"/>
      <c r="AE40" s="81">
        <v>0</v>
      </c>
      <c r="AF40" s="73">
        <v>0</v>
      </c>
      <c r="AG40" s="77">
        <v>0.1</v>
      </c>
      <c r="AH40" s="98">
        <f>AG40*2.5*$AE$38</f>
        <v>0.90125</v>
      </c>
      <c r="AI40" s="60">
        <f>$AI$37</f>
        <v>4.4000000000000004</v>
      </c>
      <c r="AJ40" s="92">
        <f>AI40-AH40</f>
        <v>3.4987500000000002</v>
      </c>
      <c r="AK40" s="90">
        <f>AJ40</f>
        <v>3.4987500000000002</v>
      </c>
      <c r="AL40" s="189">
        <f>AK40+3*$T$36</f>
        <v>17.53875</v>
      </c>
      <c r="AM40" s="1"/>
      <c r="AN40" s="1"/>
      <c r="AO40" s="1"/>
      <c r="AP40" s="1"/>
      <c r="AQ40" s="1"/>
      <c r="AR40" s="1"/>
      <c r="AS40" s="1"/>
      <c r="AT40" s="1"/>
    </row>
    <row r="41" spans="1:46" x14ac:dyDescent="0.25">
      <c r="A41" s="1"/>
      <c r="B41" s="1"/>
      <c r="C41" s="1"/>
      <c r="D41" s="1"/>
      <c r="E41" s="1"/>
      <c r="F41" s="1"/>
      <c r="G41" s="1"/>
      <c r="H41" s="1"/>
      <c r="I41" s="1"/>
      <c r="J41" s="1"/>
      <c r="K41" s="1"/>
      <c r="L41" s="1"/>
      <c r="M41" s="82">
        <v>1</v>
      </c>
      <c r="N41" s="74">
        <v>4.1666666666666699E-2</v>
      </c>
      <c r="O41" s="78">
        <v>0.2</v>
      </c>
      <c r="P41" s="180">
        <f t="shared" ref="P41:P63" si="13">O41*2.5*$M$3</f>
        <v>0.84750000000000003</v>
      </c>
      <c r="Q41" s="61">
        <f t="shared" ref="Q41:Q63" si="14">$Q$2</f>
        <v>2.1</v>
      </c>
      <c r="R41" s="183">
        <f t="shared" ref="R41:R63" si="15">Q41-P41</f>
        <v>1.2524999999999999</v>
      </c>
      <c r="S41" s="188">
        <f>SUM($R$5:R41)</f>
        <v>5.5509374999999981</v>
      </c>
      <c r="T41" s="190">
        <f t="shared" ref="T41:T63" si="16">S41+3*$T$36</f>
        <v>19.590937499999995</v>
      </c>
      <c r="U41" s="1"/>
      <c r="V41" s="1"/>
      <c r="W41" s="1"/>
      <c r="X41" s="1"/>
      <c r="Y41" s="1"/>
      <c r="Z41" s="1"/>
      <c r="AA41" s="1"/>
      <c r="AB41" s="1"/>
      <c r="AC41" s="1"/>
      <c r="AD41" s="1"/>
      <c r="AE41" s="82">
        <v>1</v>
      </c>
      <c r="AF41" s="74">
        <v>4.1666666666666699E-2</v>
      </c>
      <c r="AG41" s="78">
        <v>0.2</v>
      </c>
      <c r="AH41" s="99">
        <f t="shared" ref="AH41:AH63" si="17">AG41*2.5*$AE$38</f>
        <v>1.8025</v>
      </c>
      <c r="AI41" s="61">
        <f t="shared" ref="AI41:AI63" si="18">$AI$37</f>
        <v>4.4000000000000004</v>
      </c>
      <c r="AJ41" s="93">
        <f t="shared" ref="AJ41:AJ63" si="19">AI41-AH41</f>
        <v>2.5975000000000001</v>
      </c>
      <c r="AK41" s="91">
        <f>SUM($AJ$40:AJ41)</f>
        <v>6.0962500000000004</v>
      </c>
      <c r="AL41" s="190">
        <f>AK41+3*$T$36</f>
        <v>20.13625</v>
      </c>
      <c r="AM41" s="1"/>
      <c r="AN41" s="1"/>
      <c r="AO41" s="1"/>
      <c r="AP41" s="1"/>
      <c r="AQ41" s="1"/>
      <c r="AR41" s="1"/>
      <c r="AS41" s="1"/>
      <c r="AT41" s="1"/>
    </row>
    <row r="42" spans="1:46" x14ac:dyDescent="0.25">
      <c r="A42" s="1"/>
      <c r="B42" s="1"/>
      <c r="C42" s="1"/>
      <c r="D42" s="1"/>
      <c r="E42" s="1"/>
      <c r="F42" s="1"/>
      <c r="G42" s="1"/>
      <c r="H42" s="1"/>
      <c r="I42" s="1"/>
      <c r="J42" s="1"/>
      <c r="K42" s="1"/>
      <c r="L42" s="1"/>
      <c r="M42" s="82">
        <v>2</v>
      </c>
      <c r="N42" s="74">
        <v>8.3333333333333301E-2</v>
      </c>
      <c r="O42" s="78">
        <v>0.15</v>
      </c>
      <c r="P42" s="180">
        <f t="shared" si="13"/>
        <v>0.635625</v>
      </c>
      <c r="Q42" s="61">
        <f t="shared" si="14"/>
        <v>2.1</v>
      </c>
      <c r="R42" s="183">
        <f t="shared" si="15"/>
        <v>1.464375</v>
      </c>
      <c r="S42" s="188">
        <f>SUM($R$5:R42)</f>
        <v>7.0153124999999985</v>
      </c>
      <c r="T42" s="190">
        <f t="shared" si="16"/>
        <v>21.055312499999999</v>
      </c>
      <c r="U42" s="1"/>
      <c r="V42" s="1"/>
      <c r="W42" s="1"/>
      <c r="X42" s="1"/>
      <c r="Y42" s="1"/>
      <c r="Z42" s="1"/>
      <c r="AA42" s="1"/>
      <c r="AB42" s="1"/>
      <c r="AC42" s="1"/>
      <c r="AD42" s="1"/>
      <c r="AE42" s="82">
        <v>2</v>
      </c>
      <c r="AF42" s="74">
        <v>8.3333333333333301E-2</v>
      </c>
      <c r="AG42" s="78">
        <v>0.15</v>
      </c>
      <c r="AH42" s="99">
        <f t="shared" si="17"/>
        <v>1.3518749999999999</v>
      </c>
      <c r="AI42" s="61">
        <f t="shared" si="18"/>
        <v>4.4000000000000004</v>
      </c>
      <c r="AJ42" s="93">
        <f t="shared" si="19"/>
        <v>3.0481250000000006</v>
      </c>
      <c r="AK42" s="91">
        <f>SUM($AJ$40:AJ42)</f>
        <v>9.1443750000000001</v>
      </c>
      <c r="AL42" s="190">
        <f t="shared" ref="AL42:AL63" si="20">AK42+3*$T$36</f>
        <v>23.184374999999999</v>
      </c>
      <c r="AM42" s="1"/>
      <c r="AN42" s="1"/>
      <c r="AO42" s="1"/>
      <c r="AP42" s="1"/>
      <c r="AQ42" s="1"/>
      <c r="AR42" s="1"/>
      <c r="AS42" s="1"/>
      <c r="AT42" s="1"/>
    </row>
    <row r="43" spans="1:46" x14ac:dyDescent="0.25">
      <c r="A43" s="1"/>
      <c r="B43" s="1"/>
      <c r="C43" s="1"/>
      <c r="D43" s="1"/>
      <c r="E43" s="1"/>
      <c r="F43" s="1"/>
      <c r="G43" s="1"/>
      <c r="H43" s="1"/>
      <c r="I43" s="1"/>
      <c r="J43" s="1"/>
      <c r="K43" s="1"/>
      <c r="L43" s="1"/>
      <c r="M43" s="82">
        <v>3</v>
      </c>
      <c r="N43" s="74">
        <v>0.125</v>
      </c>
      <c r="O43" s="78">
        <v>0.15</v>
      </c>
      <c r="P43" s="180">
        <f t="shared" si="13"/>
        <v>0.635625</v>
      </c>
      <c r="Q43" s="61">
        <f t="shared" si="14"/>
        <v>2.1</v>
      </c>
      <c r="R43" s="183">
        <f t="shared" si="15"/>
        <v>1.464375</v>
      </c>
      <c r="S43" s="188">
        <f>SUM($R$5:R43)</f>
        <v>8.4796874999999989</v>
      </c>
      <c r="T43" s="190">
        <f t="shared" si="16"/>
        <v>22.519687499999996</v>
      </c>
      <c r="U43" s="1"/>
      <c r="V43" s="1"/>
      <c r="W43" s="1"/>
      <c r="X43" s="1"/>
      <c r="Y43" s="1"/>
      <c r="Z43" s="1"/>
      <c r="AA43" s="1"/>
      <c r="AB43" s="1"/>
      <c r="AC43" s="1"/>
      <c r="AD43" s="1"/>
      <c r="AE43" s="82">
        <v>3</v>
      </c>
      <c r="AF43" s="74">
        <v>0.125</v>
      </c>
      <c r="AG43" s="78">
        <v>0.15</v>
      </c>
      <c r="AH43" s="99">
        <f t="shared" si="17"/>
        <v>1.3518749999999999</v>
      </c>
      <c r="AI43" s="61">
        <f t="shared" si="18"/>
        <v>4.4000000000000004</v>
      </c>
      <c r="AJ43" s="93">
        <f t="shared" si="19"/>
        <v>3.0481250000000006</v>
      </c>
      <c r="AK43" s="91">
        <f>SUM($AJ$40:AJ43)</f>
        <v>12.192500000000001</v>
      </c>
      <c r="AL43" s="190">
        <f t="shared" si="20"/>
        <v>26.232500000000002</v>
      </c>
      <c r="AM43" s="1"/>
      <c r="AN43" s="1"/>
      <c r="AO43" s="1"/>
      <c r="AP43" s="1"/>
      <c r="AQ43" s="1"/>
      <c r="AR43" s="1"/>
      <c r="AS43" s="1"/>
      <c r="AT43" s="1"/>
    </row>
    <row r="44" spans="1:46" x14ac:dyDescent="0.25">
      <c r="A44" s="1"/>
      <c r="B44" s="1"/>
      <c r="C44" s="1"/>
      <c r="D44" s="1"/>
      <c r="E44" s="1"/>
      <c r="F44" s="1"/>
      <c r="G44" s="1"/>
      <c r="H44" s="1"/>
      <c r="I44" s="1"/>
      <c r="J44" s="1"/>
      <c r="K44" s="1"/>
      <c r="L44" s="1"/>
      <c r="M44" s="82">
        <v>4</v>
      </c>
      <c r="N44" s="74">
        <v>0.16666666666666699</v>
      </c>
      <c r="O44" s="78">
        <v>0.15</v>
      </c>
      <c r="P44" s="180">
        <f t="shared" si="13"/>
        <v>0.635625</v>
      </c>
      <c r="Q44" s="61">
        <f t="shared" si="14"/>
        <v>2.1</v>
      </c>
      <c r="R44" s="183">
        <f t="shared" si="15"/>
        <v>1.464375</v>
      </c>
      <c r="S44" s="188">
        <f>SUM($R$5:R44)</f>
        <v>9.9440624999999994</v>
      </c>
      <c r="T44" s="190">
        <f t="shared" si="16"/>
        <v>23.9840625</v>
      </c>
      <c r="U44" s="1"/>
      <c r="V44" s="1"/>
      <c r="W44" s="1"/>
      <c r="X44" s="1"/>
      <c r="Y44" s="1"/>
      <c r="Z44" s="1"/>
      <c r="AA44" s="1"/>
      <c r="AB44" s="1"/>
      <c r="AC44" s="1"/>
      <c r="AD44" s="1"/>
      <c r="AE44" s="82">
        <v>4</v>
      </c>
      <c r="AF44" s="74">
        <v>0.16666666666666699</v>
      </c>
      <c r="AG44" s="78">
        <v>0.15</v>
      </c>
      <c r="AH44" s="99">
        <f t="shared" si="17"/>
        <v>1.3518749999999999</v>
      </c>
      <c r="AI44" s="61">
        <f t="shared" si="18"/>
        <v>4.4000000000000004</v>
      </c>
      <c r="AJ44" s="93">
        <f t="shared" si="19"/>
        <v>3.0481250000000006</v>
      </c>
      <c r="AK44" s="91">
        <f>SUM($AJ$40:AJ44)</f>
        <v>15.240625000000001</v>
      </c>
      <c r="AL44" s="190">
        <f t="shared" si="20"/>
        <v>29.280625000000001</v>
      </c>
      <c r="AM44" s="1"/>
      <c r="AN44" s="1"/>
      <c r="AO44" s="1"/>
      <c r="AP44" s="1"/>
      <c r="AQ44" s="1"/>
      <c r="AR44" s="1"/>
      <c r="AS44" s="1"/>
      <c r="AT44" s="1"/>
    </row>
    <row r="45" spans="1:46" x14ac:dyDescent="0.25">
      <c r="A45" s="1"/>
      <c r="B45" s="1"/>
      <c r="C45" s="1"/>
      <c r="D45" s="1"/>
      <c r="E45" s="1"/>
      <c r="F45" s="1"/>
      <c r="G45" s="1"/>
      <c r="H45" s="1"/>
      <c r="I45" s="1"/>
      <c r="J45" s="1"/>
      <c r="K45" s="1"/>
      <c r="L45" s="1"/>
      <c r="M45" s="82">
        <v>5</v>
      </c>
      <c r="N45" s="74">
        <v>0.20833333333333301</v>
      </c>
      <c r="O45" s="78">
        <v>0.17499999999999999</v>
      </c>
      <c r="P45" s="180">
        <f t="shared" si="13"/>
        <v>0.74156250000000001</v>
      </c>
      <c r="Q45" s="61">
        <f t="shared" si="14"/>
        <v>2.1</v>
      </c>
      <c r="R45" s="183">
        <f t="shared" si="15"/>
        <v>1.3584375</v>
      </c>
      <c r="S45" s="188">
        <f>SUM($R$5:R45)</f>
        <v>11.302499999999998</v>
      </c>
      <c r="T45" s="190">
        <f t="shared" si="16"/>
        <v>25.342499999999998</v>
      </c>
      <c r="U45" s="1"/>
      <c r="V45" s="1"/>
      <c r="W45" s="1"/>
      <c r="X45" s="1"/>
      <c r="Y45" s="1"/>
      <c r="Z45" s="1"/>
      <c r="AA45" s="1"/>
      <c r="AB45" s="1"/>
      <c r="AC45" s="1"/>
      <c r="AD45" s="1"/>
      <c r="AE45" s="82">
        <v>5</v>
      </c>
      <c r="AF45" s="74">
        <v>0.20833333333333301</v>
      </c>
      <c r="AG45" s="78">
        <v>0.17499999999999999</v>
      </c>
      <c r="AH45" s="99">
        <f t="shared" si="17"/>
        <v>1.5771875</v>
      </c>
      <c r="AI45" s="61">
        <f t="shared" si="18"/>
        <v>4.4000000000000004</v>
      </c>
      <c r="AJ45" s="93">
        <f t="shared" si="19"/>
        <v>2.8228125000000004</v>
      </c>
      <c r="AK45" s="91">
        <f>SUM($AJ$40:AJ45)</f>
        <v>18.063437500000003</v>
      </c>
      <c r="AL45" s="190">
        <f t="shared" si="20"/>
        <v>32.103437499999998</v>
      </c>
      <c r="AM45" s="1"/>
      <c r="AN45" s="1"/>
      <c r="AO45" s="1"/>
      <c r="AP45" s="1"/>
      <c r="AQ45" s="1"/>
      <c r="AR45" s="1"/>
      <c r="AS45" s="1"/>
      <c r="AT45" s="1"/>
    </row>
    <row r="46" spans="1:46" x14ac:dyDescent="0.25">
      <c r="A46" s="1"/>
      <c r="B46" s="1"/>
      <c r="C46" s="1"/>
      <c r="D46" s="1"/>
      <c r="E46" s="1"/>
      <c r="F46" s="1"/>
      <c r="G46" s="1"/>
      <c r="H46" s="1"/>
      <c r="I46" s="1"/>
      <c r="J46" s="1"/>
      <c r="K46" s="1"/>
      <c r="L46" s="1"/>
      <c r="M46" s="82">
        <v>6</v>
      </c>
      <c r="N46" s="74">
        <v>0.25</v>
      </c>
      <c r="O46" s="78">
        <v>0.2</v>
      </c>
      <c r="P46" s="180">
        <f t="shared" si="13"/>
        <v>0.84750000000000003</v>
      </c>
      <c r="Q46" s="61">
        <f t="shared" si="14"/>
        <v>2.1</v>
      </c>
      <c r="R46" s="183">
        <f t="shared" si="15"/>
        <v>1.2524999999999999</v>
      </c>
      <c r="S46" s="188">
        <f>SUM($R$5:R46)</f>
        <v>12.554999999999998</v>
      </c>
      <c r="T46" s="190">
        <f t="shared" si="16"/>
        <v>26.594999999999999</v>
      </c>
      <c r="U46" s="1"/>
      <c r="V46" s="1"/>
      <c r="W46" s="1"/>
      <c r="X46" s="1"/>
      <c r="Y46" s="1"/>
      <c r="Z46" s="1"/>
      <c r="AA46" s="1"/>
      <c r="AB46" s="1"/>
      <c r="AC46" s="1"/>
      <c r="AD46" s="1"/>
      <c r="AE46" s="82">
        <v>6</v>
      </c>
      <c r="AF46" s="74">
        <v>0.25</v>
      </c>
      <c r="AG46" s="78">
        <v>0.2</v>
      </c>
      <c r="AH46" s="99">
        <f t="shared" si="17"/>
        <v>1.8025</v>
      </c>
      <c r="AI46" s="61">
        <f t="shared" si="18"/>
        <v>4.4000000000000004</v>
      </c>
      <c r="AJ46" s="93">
        <f t="shared" si="19"/>
        <v>2.5975000000000001</v>
      </c>
      <c r="AK46" s="91">
        <f>SUM($AJ$40:AJ46)</f>
        <v>20.660937500000003</v>
      </c>
      <c r="AL46" s="190">
        <f t="shared" si="20"/>
        <v>34.700937500000002</v>
      </c>
      <c r="AM46" s="1"/>
      <c r="AN46" s="1"/>
      <c r="AO46" s="1"/>
      <c r="AP46" s="1"/>
      <c r="AQ46" s="1"/>
      <c r="AR46" s="1"/>
      <c r="AS46" s="1"/>
      <c r="AT46" s="1"/>
    </row>
    <row r="47" spans="1:46" x14ac:dyDescent="0.25">
      <c r="A47" s="1"/>
      <c r="B47" s="1"/>
      <c r="C47" s="1"/>
      <c r="D47" s="1"/>
      <c r="E47" s="1"/>
      <c r="F47" s="1"/>
      <c r="G47" s="1"/>
      <c r="H47" s="1"/>
      <c r="I47" s="1"/>
      <c r="J47" s="1"/>
      <c r="K47" s="1"/>
      <c r="L47" s="1"/>
      <c r="M47" s="82">
        <v>7</v>
      </c>
      <c r="N47" s="74">
        <v>0.29166666666666702</v>
      </c>
      <c r="O47" s="78">
        <v>0.4</v>
      </c>
      <c r="P47" s="180">
        <f t="shared" si="13"/>
        <v>1.6950000000000001</v>
      </c>
      <c r="Q47" s="61">
        <f t="shared" si="14"/>
        <v>2.1</v>
      </c>
      <c r="R47" s="183">
        <f t="shared" si="15"/>
        <v>0.40500000000000003</v>
      </c>
      <c r="S47" s="188">
        <f>SUM($R$5:R47)</f>
        <v>12.959999999999997</v>
      </c>
      <c r="T47" s="190">
        <f t="shared" si="16"/>
        <v>26.999999999999996</v>
      </c>
      <c r="U47" s="1"/>
      <c r="V47" s="1"/>
      <c r="W47" s="1"/>
      <c r="X47" s="1"/>
      <c r="Y47" s="1"/>
      <c r="Z47" s="1"/>
      <c r="AA47" s="1"/>
      <c r="AB47" s="1"/>
      <c r="AC47" s="1"/>
      <c r="AD47" s="1"/>
      <c r="AE47" s="82">
        <v>7</v>
      </c>
      <c r="AF47" s="74">
        <v>0.29166666666666702</v>
      </c>
      <c r="AG47" s="78">
        <v>0.4</v>
      </c>
      <c r="AH47" s="99">
        <f t="shared" si="17"/>
        <v>3.605</v>
      </c>
      <c r="AI47" s="61">
        <f t="shared" si="18"/>
        <v>4.4000000000000004</v>
      </c>
      <c r="AJ47" s="93">
        <f t="shared" si="19"/>
        <v>0.79500000000000037</v>
      </c>
      <c r="AK47" s="91">
        <f>SUM($AJ$40:AJ47)</f>
        <v>21.455937500000005</v>
      </c>
      <c r="AL47" s="190">
        <f t="shared" si="20"/>
        <v>35.495937500000004</v>
      </c>
      <c r="AM47" s="1"/>
      <c r="AN47" s="1"/>
      <c r="AO47" s="1"/>
      <c r="AP47" s="1"/>
      <c r="AQ47" s="1"/>
      <c r="AR47" s="1"/>
      <c r="AS47" s="1"/>
      <c r="AT47" s="1"/>
    </row>
    <row r="48" spans="1:46" x14ac:dyDescent="0.25">
      <c r="A48" s="1"/>
      <c r="B48" s="1"/>
      <c r="C48" s="1"/>
      <c r="D48" s="1"/>
      <c r="E48" s="1"/>
      <c r="F48" s="1"/>
      <c r="G48" s="1"/>
      <c r="H48" s="1"/>
      <c r="I48" s="1"/>
      <c r="J48" s="1"/>
      <c r="K48" s="1"/>
      <c r="L48" s="1"/>
      <c r="M48" s="82">
        <v>8</v>
      </c>
      <c r="N48" s="74">
        <v>0.33333333333333298</v>
      </c>
      <c r="O48" s="78">
        <v>0.6</v>
      </c>
      <c r="P48" s="180">
        <f t="shared" si="13"/>
        <v>2.5425</v>
      </c>
      <c r="Q48" s="61">
        <f t="shared" si="14"/>
        <v>2.1</v>
      </c>
      <c r="R48" s="183">
        <f t="shared" si="15"/>
        <v>-0.44249999999999989</v>
      </c>
      <c r="S48" s="188">
        <f>SUM($R$5:R48)</f>
        <v>12.517499999999998</v>
      </c>
      <c r="T48" s="190">
        <f t="shared" si="16"/>
        <v>26.557499999999997</v>
      </c>
      <c r="U48" s="1"/>
      <c r="V48" s="1"/>
      <c r="W48" s="1"/>
      <c r="X48" s="1"/>
      <c r="Y48" s="1"/>
      <c r="Z48" s="1"/>
      <c r="AA48" s="1"/>
      <c r="AB48" s="1"/>
      <c r="AC48" s="1"/>
      <c r="AD48" s="1"/>
      <c r="AE48" s="82">
        <v>8</v>
      </c>
      <c r="AF48" s="74">
        <v>0.33333333333333298</v>
      </c>
      <c r="AG48" s="78">
        <v>0.6</v>
      </c>
      <c r="AH48" s="99">
        <f t="shared" si="17"/>
        <v>5.4074999999999998</v>
      </c>
      <c r="AI48" s="61">
        <f t="shared" si="18"/>
        <v>4.4000000000000004</v>
      </c>
      <c r="AJ48" s="93">
        <f t="shared" si="19"/>
        <v>-1.0074999999999994</v>
      </c>
      <c r="AK48" s="91">
        <f>SUM($AJ$40:AJ48)</f>
        <v>20.448437500000004</v>
      </c>
      <c r="AL48" s="190">
        <f t="shared" si="20"/>
        <v>34.488437500000003</v>
      </c>
      <c r="AM48" s="1"/>
      <c r="AN48" s="1"/>
      <c r="AO48" s="1"/>
      <c r="AP48" s="1"/>
      <c r="AQ48" s="1"/>
      <c r="AR48" s="1"/>
      <c r="AS48" s="1"/>
      <c r="AT48" s="1"/>
    </row>
    <row r="49" spans="1:46" x14ac:dyDescent="0.25">
      <c r="A49" s="1"/>
      <c r="B49" s="1"/>
      <c r="C49" s="1"/>
      <c r="D49" s="1"/>
      <c r="E49" s="1"/>
      <c r="F49" s="1"/>
      <c r="G49" s="1"/>
      <c r="H49" s="1"/>
      <c r="I49" s="1"/>
      <c r="J49" s="1"/>
      <c r="K49" s="1"/>
      <c r="L49" s="1"/>
      <c r="M49" s="82">
        <v>9</v>
      </c>
      <c r="N49" s="74">
        <v>0.375</v>
      </c>
      <c r="O49" s="78">
        <v>0.6</v>
      </c>
      <c r="P49" s="180">
        <f t="shared" si="13"/>
        <v>2.5425</v>
      </c>
      <c r="Q49" s="61">
        <f t="shared" si="14"/>
        <v>2.1</v>
      </c>
      <c r="R49" s="183">
        <f t="shared" si="15"/>
        <v>-0.44249999999999989</v>
      </c>
      <c r="S49" s="188">
        <f>SUM($R$5:R49)</f>
        <v>12.074999999999999</v>
      </c>
      <c r="T49" s="190">
        <f t="shared" si="16"/>
        <v>26.114999999999998</v>
      </c>
      <c r="U49" s="1"/>
      <c r="V49" s="1"/>
      <c r="W49" s="1"/>
      <c r="X49" s="1"/>
      <c r="Y49" s="1"/>
      <c r="Z49" s="1"/>
      <c r="AA49" s="1"/>
      <c r="AB49" s="1"/>
      <c r="AC49" s="1"/>
      <c r="AD49" s="1"/>
      <c r="AE49" s="82">
        <v>9</v>
      </c>
      <c r="AF49" s="74">
        <v>0.375</v>
      </c>
      <c r="AG49" s="78">
        <v>0.6</v>
      </c>
      <c r="AH49" s="99">
        <f t="shared" si="17"/>
        <v>5.4074999999999998</v>
      </c>
      <c r="AI49" s="61">
        <f t="shared" si="18"/>
        <v>4.4000000000000004</v>
      </c>
      <c r="AJ49" s="93">
        <f t="shared" si="19"/>
        <v>-1.0074999999999994</v>
      </c>
      <c r="AK49" s="91">
        <f>SUM($AJ$40:AJ49)</f>
        <v>19.440937500000004</v>
      </c>
      <c r="AL49" s="190">
        <f t="shared" si="20"/>
        <v>33.480937500000003</v>
      </c>
      <c r="AM49" s="1"/>
      <c r="AN49" s="1"/>
      <c r="AO49" s="1"/>
      <c r="AP49" s="1"/>
      <c r="AQ49" s="1"/>
      <c r="AR49" s="1"/>
      <c r="AS49" s="1"/>
      <c r="AT49" s="1"/>
    </row>
    <row r="50" spans="1:46" x14ac:dyDescent="0.25">
      <c r="A50" s="1"/>
      <c r="B50" s="1"/>
      <c r="C50" s="1"/>
      <c r="D50" s="1"/>
      <c r="E50" s="1"/>
      <c r="F50" s="1"/>
      <c r="G50" s="1"/>
      <c r="H50" s="1"/>
      <c r="I50" s="1"/>
      <c r="J50" s="1"/>
      <c r="K50" s="1"/>
      <c r="L50" s="1"/>
      <c r="M50" s="82">
        <v>10</v>
      </c>
      <c r="N50" s="74">
        <v>0.41666666666666702</v>
      </c>
      <c r="O50" s="78">
        <v>0.55000000000000004</v>
      </c>
      <c r="P50" s="180">
        <f t="shared" si="13"/>
        <v>2.3306249999999999</v>
      </c>
      <c r="Q50" s="61">
        <f t="shared" si="14"/>
        <v>2.1</v>
      </c>
      <c r="R50" s="183">
        <f t="shared" si="15"/>
        <v>-0.23062499999999986</v>
      </c>
      <c r="S50" s="188">
        <f>SUM($R$5:R50)</f>
        <v>11.844374999999999</v>
      </c>
      <c r="T50" s="190">
        <f t="shared" si="16"/>
        <v>25.884374999999999</v>
      </c>
      <c r="U50" s="1"/>
      <c r="V50" s="1"/>
      <c r="W50" s="1"/>
      <c r="X50" s="1"/>
      <c r="Y50" s="1"/>
      <c r="Z50" s="1"/>
      <c r="AA50" s="1"/>
      <c r="AB50" s="1"/>
      <c r="AC50" s="1"/>
      <c r="AD50" s="1"/>
      <c r="AE50" s="82">
        <v>10</v>
      </c>
      <c r="AF50" s="74">
        <v>0.41666666666666702</v>
      </c>
      <c r="AG50" s="78">
        <v>0.55000000000000004</v>
      </c>
      <c r="AH50" s="99">
        <f t="shared" si="17"/>
        <v>4.9568750000000001</v>
      </c>
      <c r="AI50" s="61">
        <f t="shared" si="18"/>
        <v>4.4000000000000004</v>
      </c>
      <c r="AJ50" s="93">
        <f t="shared" si="19"/>
        <v>-0.55687499999999979</v>
      </c>
      <c r="AK50" s="91">
        <f>SUM($AJ$40:AJ50)</f>
        <v>18.884062500000006</v>
      </c>
      <c r="AL50" s="190">
        <f t="shared" si="20"/>
        <v>32.924062500000005</v>
      </c>
      <c r="AM50" s="1"/>
      <c r="AN50" s="1"/>
      <c r="AO50" s="1"/>
      <c r="AP50" s="1"/>
      <c r="AQ50" s="1"/>
      <c r="AR50" s="1"/>
      <c r="AS50" s="1"/>
      <c r="AT50" s="1"/>
    </row>
    <row r="51" spans="1:46" x14ac:dyDescent="0.25">
      <c r="A51" s="1"/>
      <c r="B51" s="1"/>
      <c r="C51" s="1"/>
      <c r="D51" s="1"/>
      <c r="E51" s="1"/>
      <c r="F51" s="1"/>
      <c r="G51" s="1"/>
      <c r="H51" s="1"/>
      <c r="I51" s="1"/>
      <c r="J51" s="1"/>
      <c r="K51" s="1"/>
      <c r="L51" s="1"/>
      <c r="M51" s="82">
        <v>11</v>
      </c>
      <c r="N51" s="74">
        <v>0.45833333333333298</v>
      </c>
      <c r="O51" s="78">
        <v>0.5</v>
      </c>
      <c r="P51" s="180">
        <f t="shared" si="13"/>
        <v>2.1187499999999999</v>
      </c>
      <c r="Q51" s="61">
        <f t="shared" si="14"/>
        <v>2.1</v>
      </c>
      <c r="R51" s="183">
        <f t="shared" si="15"/>
        <v>-1.8749999999999822E-2</v>
      </c>
      <c r="S51" s="188">
        <f>SUM($R$5:R51)</f>
        <v>11.825624999999999</v>
      </c>
      <c r="T51" s="190">
        <f t="shared" si="16"/>
        <v>25.865624999999998</v>
      </c>
      <c r="U51" s="1"/>
      <c r="V51" s="1"/>
      <c r="W51" s="1"/>
      <c r="X51" s="1"/>
      <c r="Y51" s="1"/>
      <c r="Z51" s="1"/>
      <c r="AA51" s="1"/>
      <c r="AB51" s="1"/>
      <c r="AC51" s="1"/>
      <c r="AD51" s="1"/>
      <c r="AE51" s="82">
        <v>11</v>
      </c>
      <c r="AF51" s="74">
        <v>0.45833333333333298</v>
      </c>
      <c r="AG51" s="78">
        <v>0.5</v>
      </c>
      <c r="AH51" s="99">
        <f t="shared" si="17"/>
        <v>4.5062499999999996</v>
      </c>
      <c r="AI51" s="61">
        <f t="shared" si="18"/>
        <v>4.4000000000000004</v>
      </c>
      <c r="AJ51" s="93">
        <f t="shared" si="19"/>
        <v>-0.10624999999999929</v>
      </c>
      <c r="AK51" s="91">
        <f>SUM($AJ$40:AJ51)</f>
        <v>18.777812500000007</v>
      </c>
      <c r="AL51" s="190">
        <f t="shared" si="20"/>
        <v>32.817812500000002</v>
      </c>
      <c r="AM51" s="1"/>
      <c r="AN51" s="1"/>
      <c r="AO51" s="1"/>
      <c r="AP51" s="1"/>
      <c r="AQ51" s="1"/>
      <c r="AR51" s="1"/>
      <c r="AS51" s="1"/>
      <c r="AT51" s="1"/>
    </row>
    <row r="52" spans="1:46" x14ac:dyDescent="0.25">
      <c r="A52" s="1"/>
      <c r="B52" s="1"/>
      <c r="C52" s="1"/>
      <c r="D52" s="1"/>
      <c r="E52" s="1"/>
      <c r="F52" s="1"/>
      <c r="G52" s="1"/>
      <c r="H52" s="1"/>
      <c r="I52" s="1"/>
      <c r="J52" s="1"/>
      <c r="K52" s="1"/>
      <c r="L52" s="1"/>
      <c r="M52" s="82">
        <v>12</v>
      </c>
      <c r="N52" s="74">
        <v>0.5</v>
      </c>
      <c r="O52" s="78">
        <v>0.5</v>
      </c>
      <c r="P52" s="180">
        <f t="shared" si="13"/>
        <v>2.1187499999999999</v>
      </c>
      <c r="Q52" s="61">
        <f t="shared" si="14"/>
        <v>2.1</v>
      </c>
      <c r="R52" s="183">
        <f t="shared" si="15"/>
        <v>-1.8749999999999822E-2</v>
      </c>
      <c r="S52" s="188">
        <f>SUM($R$5:R52)</f>
        <v>11.806874999999998</v>
      </c>
      <c r="T52" s="190">
        <f t="shared" si="16"/>
        <v>25.846874999999997</v>
      </c>
      <c r="U52" s="1"/>
      <c r="V52" s="1"/>
      <c r="W52" s="1"/>
      <c r="X52" s="1"/>
      <c r="Y52" s="1"/>
      <c r="Z52" s="1"/>
      <c r="AA52" s="1"/>
      <c r="AB52" s="1"/>
      <c r="AC52" s="1"/>
      <c r="AD52" s="1"/>
      <c r="AE52" s="82">
        <v>12</v>
      </c>
      <c r="AF52" s="74">
        <v>0.5</v>
      </c>
      <c r="AG52" s="78">
        <v>0.5</v>
      </c>
      <c r="AH52" s="99">
        <f t="shared" si="17"/>
        <v>4.5062499999999996</v>
      </c>
      <c r="AI52" s="61">
        <f t="shared" si="18"/>
        <v>4.4000000000000004</v>
      </c>
      <c r="AJ52" s="93">
        <f t="shared" si="19"/>
        <v>-0.10624999999999929</v>
      </c>
      <c r="AK52" s="91">
        <f>SUM($AJ$40:AJ52)</f>
        <v>18.671562500000007</v>
      </c>
      <c r="AL52" s="190">
        <f t="shared" si="20"/>
        <v>32.711562500000007</v>
      </c>
      <c r="AM52" s="1"/>
      <c r="AN52" s="1"/>
      <c r="AO52" s="1"/>
      <c r="AP52" s="1"/>
      <c r="AQ52" s="1"/>
      <c r="AR52" s="1"/>
      <c r="AS52" s="1"/>
      <c r="AT52" s="1"/>
    </row>
    <row r="53" spans="1:46" x14ac:dyDescent="0.25">
      <c r="A53" s="1"/>
      <c r="B53" s="1"/>
      <c r="C53" s="1"/>
      <c r="D53" s="1"/>
      <c r="E53" s="1"/>
      <c r="F53" s="1"/>
      <c r="G53" s="1"/>
      <c r="H53" s="1"/>
      <c r="I53" s="1"/>
      <c r="J53" s="1"/>
      <c r="K53" s="1"/>
      <c r="L53" s="1"/>
      <c r="M53" s="82">
        <v>13</v>
      </c>
      <c r="N53" s="74">
        <v>0.54166666666666696</v>
      </c>
      <c r="O53" s="78">
        <v>0.5</v>
      </c>
      <c r="P53" s="180">
        <f t="shared" si="13"/>
        <v>2.1187499999999999</v>
      </c>
      <c r="Q53" s="61">
        <f t="shared" si="14"/>
        <v>2.1</v>
      </c>
      <c r="R53" s="183">
        <f t="shared" si="15"/>
        <v>-1.8749999999999822E-2</v>
      </c>
      <c r="S53" s="188">
        <f>SUM($R$5:R53)</f>
        <v>11.788124999999997</v>
      </c>
      <c r="T53" s="190">
        <f t="shared" si="16"/>
        <v>25.828124999999996</v>
      </c>
      <c r="U53" s="1"/>
      <c r="V53" s="1"/>
      <c r="W53" s="1"/>
      <c r="X53" s="1"/>
      <c r="Y53" s="1"/>
      <c r="Z53" s="1"/>
      <c r="AA53" s="1"/>
      <c r="AB53" s="1"/>
      <c r="AC53" s="1"/>
      <c r="AD53" s="1"/>
      <c r="AE53" s="82">
        <v>13</v>
      </c>
      <c r="AF53" s="74">
        <v>0.54166666666666696</v>
      </c>
      <c r="AG53" s="78">
        <v>0.5</v>
      </c>
      <c r="AH53" s="99">
        <f t="shared" si="17"/>
        <v>4.5062499999999996</v>
      </c>
      <c r="AI53" s="61">
        <f t="shared" si="18"/>
        <v>4.4000000000000004</v>
      </c>
      <c r="AJ53" s="93">
        <f t="shared" si="19"/>
        <v>-0.10624999999999929</v>
      </c>
      <c r="AK53" s="91">
        <f>SUM($AJ$40:AJ53)</f>
        <v>18.565312500000008</v>
      </c>
      <c r="AL53" s="190">
        <f t="shared" si="20"/>
        <v>32.605312500000011</v>
      </c>
      <c r="AM53" s="1"/>
      <c r="AN53" s="1"/>
      <c r="AO53" s="1"/>
      <c r="AP53" s="1"/>
      <c r="AQ53" s="1"/>
      <c r="AR53" s="1"/>
      <c r="AS53" s="1"/>
      <c r="AT53" s="1"/>
    </row>
    <row r="54" spans="1:46" x14ac:dyDescent="0.25">
      <c r="A54" s="1"/>
      <c r="B54" s="1"/>
      <c r="C54" s="1"/>
      <c r="D54" s="1"/>
      <c r="E54" s="1"/>
      <c r="F54" s="1"/>
      <c r="G54" s="1"/>
      <c r="H54" s="1"/>
      <c r="I54" s="1"/>
      <c r="J54" s="1"/>
      <c r="K54" s="1"/>
      <c r="L54" s="1"/>
      <c r="M54" s="82">
        <v>14</v>
      </c>
      <c r="N54" s="74">
        <v>0.58333333333333304</v>
      </c>
      <c r="O54" s="78">
        <v>0.5</v>
      </c>
      <c r="P54" s="180">
        <f t="shared" si="13"/>
        <v>2.1187499999999999</v>
      </c>
      <c r="Q54" s="61">
        <f t="shared" si="14"/>
        <v>2.1</v>
      </c>
      <c r="R54" s="183">
        <f t="shared" si="15"/>
        <v>-1.8749999999999822E-2</v>
      </c>
      <c r="S54" s="188">
        <f>SUM($R$5:R54)</f>
        <v>11.769374999999997</v>
      </c>
      <c r="T54" s="190">
        <f t="shared" si="16"/>
        <v>25.809374999999996</v>
      </c>
      <c r="U54" s="1"/>
      <c r="V54" s="1"/>
      <c r="W54" s="1"/>
      <c r="X54" s="1"/>
      <c r="Y54" s="1"/>
      <c r="Z54" s="1"/>
      <c r="AA54" s="1"/>
      <c r="AB54" s="1"/>
      <c r="AC54" s="1"/>
      <c r="AD54" s="1"/>
      <c r="AE54" s="82">
        <v>14</v>
      </c>
      <c r="AF54" s="74">
        <v>0.58333333333333304</v>
      </c>
      <c r="AG54" s="78">
        <v>0.5</v>
      </c>
      <c r="AH54" s="99">
        <f t="shared" si="17"/>
        <v>4.5062499999999996</v>
      </c>
      <c r="AI54" s="61">
        <f t="shared" si="18"/>
        <v>4.4000000000000004</v>
      </c>
      <c r="AJ54" s="93">
        <f t="shared" si="19"/>
        <v>-0.10624999999999929</v>
      </c>
      <c r="AK54" s="91">
        <f>SUM($AJ$40:AJ54)</f>
        <v>18.459062500000009</v>
      </c>
      <c r="AL54" s="190">
        <f t="shared" si="20"/>
        <v>32.499062500000008</v>
      </c>
      <c r="AM54" s="1"/>
      <c r="AN54" s="1"/>
      <c r="AO54" s="1"/>
      <c r="AP54" s="1"/>
      <c r="AQ54" s="1"/>
      <c r="AR54" s="1"/>
      <c r="AS54" s="1"/>
      <c r="AT54" s="1"/>
    </row>
    <row r="55" spans="1:46" x14ac:dyDescent="0.25">
      <c r="A55" s="1"/>
      <c r="B55" s="1"/>
      <c r="C55" s="1"/>
      <c r="D55" s="1"/>
      <c r="E55" s="1"/>
      <c r="F55" s="1"/>
      <c r="G55" s="1"/>
      <c r="H55" s="1"/>
      <c r="I55" s="1"/>
      <c r="J55" s="1"/>
      <c r="K55" s="1"/>
      <c r="L55" s="1"/>
      <c r="M55" s="82">
        <v>15</v>
      </c>
      <c r="N55" s="74">
        <v>0.625</v>
      </c>
      <c r="O55" s="78">
        <v>0.5</v>
      </c>
      <c r="P55" s="180">
        <f t="shared" si="13"/>
        <v>2.1187499999999999</v>
      </c>
      <c r="Q55" s="61">
        <f t="shared" si="14"/>
        <v>2.1</v>
      </c>
      <c r="R55" s="183">
        <f t="shared" si="15"/>
        <v>-1.8749999999999822E-2</v>
      </c>
      <c r="S55" s="188">
        <f>SUM($R$5:R55)</f>
        <v>11.750624999999996</v>
      </c>
      <c r="T55" s="190">
        <f t="shared" si="16"/>
        <v>25.790624999999995</v>
      </c>
      <c r="U55" s="1"/>
      <c r="V55" s="1"/>
      <c r="W55" s="1"/>
      <c r="X55" s="1"/>
      <c r="Y55" s="1"/>
      <c r="Z55" s="1"/>
      <c r="AA55" s="1"/>
      <c r="AB55" s="1"/>
      <c r="AC55" s="1"/>
      <c r="AD55" s="1"/>
      <c r="AE55" s="82">
        <v>15</v>
      </c>
      <c r="AF55" s="74">
        <v>0.625</v>
      </c>
      <c r="AG55" s="78">
        <v>0.5</v>
      </c>
      <c r="AH55" s="99">
        <f t="shared" si="17"/>
        <v>4.5062499999999996</v>
      </c>
      <c r="AI55" s="61">
        <f t="shared" si="18"/>
        <v>4.4000000000000004</v>
      </c>
      <c r="AJ55" s="93">
        <f t="shared" si="19"/>
        <v>-0.10624999999999929</v>
      </c>
      <c r="AK55" s="91">
        <f>SUM($AJ$40:AJ55)</f>
        <v>18.35281250000001</v>
      </c>
      <c r="AL55" s="190">
        <f t="shared" si="20"/>
        <v>32.392812500000005</v>
      </c>
      <c r="AM55" s="1"/>
      <c r="AN55" s="1"/>
      <c r="AO55" s="1"/>
      <c r="AP55" s="1"/>
      <c r="AQ55" s="1"/>
      <c r="AR55" s="1"/>
      <c r="AS55" s="1"/>
      <c r="AT55" s="1"/>
    </row>
    <row r="56" spans="1:46" x14ac:dyDescent="0.25">
      <c r="A56" s="1"/>
      <c r="B56" s="1"/>
      <c r="C56" s="1"/>
      <c r="D56" s="1"/>
      <c r="E56" s="1"/>
      <c r="F56" s="1"/>
      <c r="G56" s="1"/>
      <c r="H56" s="1"/>
      <c r="I56" s="1"/>
      <c r="J56" s="1"/>
      <c r="K56" s="1"/>
      <c r="L56" s="1"/>
      <c r="M56" s="82">
        <v>16</v>
      </c>
      <c r="N56" s="74">
        <v>0.66666666666666696</v>
      </c>
      <c r="O56" s="78">
        <v>0.6</v>
      </c>
      <c r="P56" s="180">
        <f t="shared" si="13"/>
        <v>2.5425</v>
      </c>
      <c r="Q56" s="61">
        <f t="shared" si="14"/>
        <v>2.1</v>
      </c>
      <c r="R56" s="183">
        <f t="shared" si="15"/>
        <v>-0.44249999999999989</v>
      </c>
      <c r="S56" s="188">
        <f>SUM($R$5:R56)</f>
        <v>11.308124999999997</v>
      </c>
      <c r="T56" s="190">
        <f t="shared" si="16"/>
        <v>25.348124999999996</v>
      </c>
      <c r="U56" s="1"/>
      <c r="V56" s="1"/>
      <c r="W56" s="1"/>
      <c r="X56" s="1"/>
      <c r="Y56" s="1"/>
      <c r="Z56" s="1"/>
      <c r="AA56" s="1"/>
      <c r="AB56" s="1"/>
      <c r="AC56" s="1"/>
      <c r="AD56" s="1"/>
      <c r="AE56" s="82">
        <v>16</v>
      </c>
      <c r="AF56" s="74">
        <v>0.66666666666666696</v>
      </c>
      <c r="AG56" s="78">
        <v>0.6</v>
      </c>
      <c r="AH56" s="99">
        <f t="shared" si="17"/>
        <v>5.4074999999999998</v>
      </c>
      <c r="AI56" s="61">
        <f t="shared" si="18"/>
        <v>4.4000000000000004</v>
      </c>
      <c r="AJ56" s="93">
        <f t="shared" si="19"/>
        <v>-1.0074999999999994</v>
      </c>
      <c r="AK56" s="91">
        <f>SUM($AJ$40:AJ56)</f>
        <v>17.345312500000009</v>
      </c>
      <c r="AL56" s="190">
        <f t="shared" si="20"/>
        <v>31.385312500000008</v>
      </c>
      <c r="AM56" s="1"/>
      <c r="AN56" s="1"/>
      <c r="AO56" s="1"/>
      <c r="AP56" s="1"/>
      <c r="AQ56" s="1"/>
      <c r="AR56" s="1"/>
      <c r="AS56" s="1"/>
      <c r="AT56" s="1"/>
    </row>
    <row r="57" spans="1:46" x14ac:dyDescent="0.25">
      <c r="A57" s="1"/>
      <c r="B57" s="1"/>
      <c r="C57" s="1"/>
      <c r="D57" s="1"/>
      <c r="E57" s="1"/>
      <c r="F57" s="1"/>
      <c r="G57" s="1"/>
      <c r="H57" s="1"/>
      <c r="I57" s="1"/>
      <c r="J57" s="1"/>
      <c r="K57" s="1"/>
      <c r="L57" s="1"/>
      <c r="M57" s="82">
        <v>17</v>
      </c>
      <c r="N57" s="74">
        <v>0.70833333333333304</v>
      </c>
      <c r="O57" s="78">
        <v>0.7</v>
      </c>
      <c r="P57" s="180">
        <f t="shared" si="13"/>
        <v>2.9662500000000001</v>
      </c>
      <c r="Q57" s="61">
        <f t="shared" si="14"/>
        <v>2.1</v>
      </c>
      <c r="R57" s="183">
        <f t="shared" si="15"/>
        <v>-0.86624999999999996</v>
      </c>
      <c r="S57" s="188">
        <f>SUM($R$5:R57)</f>
        <v>10.441874999999996</v>
      </c>
      <c r="T57" s="190">
        <f t="shared" si="16"/>
        <v>24.481874999999995</v>
      </c>
      <c r="U57" s="1"/>
      <c r="V57" s="1"/>
      <c r="W57" s="1"/>
      <c r="X57" s="1"/>
      <c r="Y57" s="1"/>
      <c r="Z57" s="1"/>
      <c r="AA57" s="1"/>
      <c r="AB57" s="1"/>
      <c r="AC57" s="1"/>
      <c r="AD57" s="1"/>
      <c r="AE57" s="82">
        <v>17</v>
      </c>
      <c r="AF57" s="74">
        <v>0.70833333333333304</v>
      </c>
      <c r="AG57" s="78">
        <v>0.7</v>
      </c>
      <c r="AH57" s="99">
        <f t="shared" si="17"/>
        <v>6.3087499999999999</v>
      </c>
      <c r="AI57" s="61">
        <f t="shared" si="18"/>
        <v>4.4000000000000004</v>
      </c>
      <c r="AJ57" s="93">
        <f t="shared" si="19"/>
        <v>-1.9087499999999995</v>
      </c>
      <c r="AK57" s="91">
        <f>SUM($AJ$40:AJ57)</f>
        <v>15.43656250000001</v>
      </c>
      <c r="AL57" s="190">
        <f t="shared" si="20"/>
        <v>29.476562500000007</v>
      </c>
      <c r="AM57" s="1"/>
      <c r="AN57" s="1"/>
      <c r="AO57" s="1"/>
      <c r="AP57" s="1"/>
      <c r="AQ57" s="1"/>
      <c r="AR57" s="1"/>
      <c r="AS57" s="1"/>
      <c r="AT57" s="1"/>
    </row>
    <row r="58" spans="1:46" x14ac:dyDescent="0.25">
      <c r="A58" s="1"/>
      <c r="B58" s="1"/>
      <c r="C58" s="1"/>
      <c r="D58" s="1"/>
      <c r="E58" s="1"/>
      <c r="F58" s="1"/>
      <c r="G58" s="1"/>
      <c r="H58" s="1"/>
      <c r="I58" s="1"/>
      <c r="J58" s="1"/>
      <c r="K58" s="1"/>
      <c r="L58" s="1"/>
      <c r="M58" s="82">
        <v>18</v>
      </c>
      <c r="N58" s="74">
        <v>0.75</v>
      </c>
      <c r="O58" s="78">
        <v>0.8</v>
      </c>
      <c r="P58" s="180">
        <f t="shared" si="13"/>
        <v>3.39</v>
      </c>
      <c r="Q58" s="61">
        <f t="shared" si="14"/>
        <v>2.1</v>
      </c>
      <c r="R58" s="183">
        <f t="shared" si="15"/>
        <v>-1.29</v>
      </c>
      <c r="S58" s="188">
        <f>SUM($R$5:R58)</f>
        <v>9.1518749999999969</v>
      </c>
      <c r="T58" s="190">
        <f t="shared" si="16"/>
        <v>23.191874999999996</v>
      </c>
      <c r="U58" s="1"/>
      <c r="V58" s="1"/>
      <c r="W58" s="1"/>
      <c r="X58" s="1"/>
      <c r="Y58" s="1"/>
      <c r="Z58" s="1"/>
      <c r="AA58" s="1"/>
      <c r="AB58" s="1"/>
      <c r="AC58" s="1"/>
      <c r="AD58" s="1"/>
      <c r="AE58" s="82">
        <v>18</v>
      </c>
      <c r="AF58" s="74">
        <v>0.75</v>
      </c>
      <c r="AG58" s="78">
        <v>0.8</v>
      </c>
      <c r="AH58" s="99">
        <f t="shared" si="17"/>
        <v>7.21</v>
      </c>
      <c r="AI58" s="61">
        <f t="shared" si="18"/>
        <v>4.4000000000000004</v>
      </c>
      <c r="AJ58" s="93">
        <f t="shared" si="19"/>
        <v>-2.8099999999999996</v>
      </c>
      <c r="AK58" s="91">
        <f>SUM($AJ$40:AJ58)</f>
        <v>12.626562500000009</v>
      </c>
      <c r="AL58" s="190">
        <f t="shared" si="20"/>
        <v>26.666562500000008</v>
      </c>
      <c r="AM58" s="1"/>
      <c r="AN58" s="1"/>
      <c r="AO58" s="1"/>
      <c r="AP58" s="1"/>
      <c r="AQ58" s="1"/>
      <c r="AR58" s="1"/>
      <c r="AS58" s="1"/>
      <c r="AT58" s="1"/>
    </row>
    <row r="59" spans="1:46" x14ac:dyDescent="0.25">
      <c r="A59" s="1"/>
      <c r="B59" s="1"/>
      <c r="C59" s="1"/>
      <c r="D59" s="1"/>
      <c r="E59" s="1"/>
      <c r="F59" s="1"/>
      <c r="G59" s="1"/>
      <c r="H59" s="1"/>
      <c r="I59" s="1"/>
      <c r="J59" s="1"/>
      <c r="K59" s="1"/>
      <c r="L59" s="1"/>
      <c r="M59" s="82">
        <v>19</v>
      </c>
      <c r="N59" s="74">
        <v>0.79166666666666696</v>
      </c>
      <c r="O59" s="78">
        <v>0.8</v>
      </c>
      <c r="P59" s="180">
        <f t="shared" si="13"/>
        <v>3.39</v>
      </c>
      <c r="Q59" s="61">
        <f t="shared" si="14"/>
        <v>2.1</v>
      </c>
      <c r="R59" s="183">
        <f t="shared" si="15"/>
        <v>-1.29</v>
      </c>
      <c r="S59" s="188">
        <f>SUM($R$5:R59)</f>
        <v>7.8618749999999968</v>
      </c>
      <c r="T59" s="190">
        <f t="shared" si="16"/>
        <v>21.901874999999997</v>
      </c>
      <c r="U59" s="1"/>
      <c r="V59" s="1"/>
      <c r="W59" s="1"/>
      <c r="X59" s="1"/>
      <c r="Y59" s="1"/>
      <c r="Z59" s="1"/>
      <c r="AA59" s="1"/>
      <c r="AB59" s="1"/>
      <c r="AC59" s="1"/>
      <c r="AD59" s="1"/>
      <c r="AE59" s="82">
        <v>19</v>
      </c>
      <c r="AF59" s="74">
        <v>0.79166666666666696</v>
      </c>
      <c r="AG59" s="78">
        <v>0.8</v>
      </c>
      <c r="AH59" s="99">
        <f t="shared" si="17"/>
        <v>7.21</v>
      </c>
      <c r="AI59" s="61">
        <f t="shared" si="18"/>
        <v>4.4000000000000004</v>
      </c>
      <c r="AJ59" s="93">
        <f t="shared" si="19"/>
        <v>-2.8099999999999996</v>
      </c>
      <c r="AK59" s="91">
        <f>SUM($AJ$40:AJ59)</f>
        <v>9.8165625000000105</v>
      </c>
      <c r="AL59" s="190">
        <f t="shared" si="20"/>
        <v>23.85656250000001</v>
      </c>
      <c r="AM59" s="1"/>
      <c r="AN59" s="1"/>
      <c r="AO59" s="1"/>
      <c r="AP59" s="1"/>
      <c r="AQ59" s="1"/>
      <c r="AR59" s="1"/>
      <c r="AS59" s="1"/>
      <c r="AT59" s="1"/>
    </row>
    <row r="60" spans="1:46" x14ac:dyDescent="0.25">
      <c r="A60" s="1"/>
      <c r="B60" s="1"/>
      <c r="C60" s="1"/>
      <c r="D60" s="1"/>
      <c r="E60" s="1"/>
      <c r="F60" s="1"/>
      <c r="G60" s="1"/>
      <c r="H60" s="1"/>
      <c r="I60" s="1"/>
      <c r="J60" s="1"/>
      <c r="K60" s="1"/>
      <c r="L60" s="1"/>
      <c r="M60" s="82">
        <v>20</v>
      </c>
      <c r="N60" s="74">
        <v>0.83333333333333304</v>
      </c>
      <c r="O60" s="78">
        <v>0.8</v>
      </c>
      <c r="P60" s="180">
        <f t="shared" si="13"/>
        <v>3.39</v>
      </c>
      <c r="Q60" s="61">
        <f t="shared" si="14"/>
        <v>2.1</v>
      </c>
      <c r="R60" s="183">
        <f t="shared" si="15"/>
        <v>-1.29</v>
      </c>
      <c r="S60" s="188">
        <f>SUM($R$5:R60)</f>
        <v>6.5718749999999968</v>
      </c>
      <c r="T60" s="190">
        <f t="shared" si="16"/>
        <v>20.611874999999998</v>
      </c>
      <c r="U60" s="1"/>
      <c r="V60" s="1"/>
      <c r="W60" s="1"/>
      <c r="X60" s="1"/>
      <c r="Y60" s="1"/>
      <c r="Z60" s="1"/>
      <c r="AA60" s="1"/>
      <c r="AB60" s="1"/>
      <c r="AC60" s="1"/>
      <c r="AD60" s="1"/>
      <c r="AE60" s="82">
        <v>20</v>
      </c>
      <c r="AF60" s="74">
        <v>0.83333333333333304</v>
      </c>
      <c r="AG60" s="78">
        <v>0.8</v>
      </c>
      <c r="AH60" s="99">
        <f t="shared" si="17"/>
        <v>7.21</v>
      </c>
      <c r="AI60" s="61">
        <f t="shared" si="18"/>
        <v>4.4000000000000004</v>
      </c>
      <c r="AJ60" s="93">
        <f t="shared" si="19"/>
        <v>-2.8099999999999996</v>
      </c>
      <c r="AK60" s="91">
        <f>SUM($AJ$40:AJ60)</f>
        <v>7.0065625000000109</v>
      </c>
      <c r="AL60" s="190">
        <f t="shared" si="20"/>
        <v>21.046562500000011</v>
      </c>
      <c r="AM60" s="1"/>
      <c r="AN60" s="1"/>
      <c r="AO60" s="1"/>
      <c r="AP60" s="1"/>
      <c r="AQ60" s="1"/>
      <c r="AR60" s="1"/>
      <c r="AS60" s="1"/>
      <c r="AT60" s="1"/>
    </row>
    <row r="61" spans="1:46" x14ac:dyDescent="0.25">
      <c r="A61" s="1"/>
      <c r="B61" s="1"/>
      <c r="C61" s="1"/>
      <c r="D61" s="1"/>
      <c r="E61" s="1"/>
      <c r="F61" s="1"/>
      <c r="G61" s="1"/>
      <c r="H61" s="1"/>
      <c r="I61" s="1"/>
      <c r="J61" s="1"/>
      <c r="K61" s="1"/>
      <c r="L61" s="1"/>
      <c r="M61" s="82">
        <v>21</v>
      </c>
      <c r="N61" s="74">
        <v>0.875</v>
      </c>
      <c r="O61" s="78">
        <v>0.8</v>
      </c>
      <c r="P61" s="180">
        <f t="shared" si="13"/>
        <v>3.39</v>
      </c>
      <c r="Q61" s="61">
        <f t="shared" si="14"/>
        <v>2.1</v>
      </c>
      <c r="R61" s="183">
        <f t="shared" si="15"/>
        <v>-1.29</v>
      </c>
      <c r="S61" s="188">
        <f>SUM($R$5:R61)</f>
        <v>5.2818749999999968</v>
      </c>
      <c r="T61" s="190">
        <f t="shared" si="16"/>
        <v>19.321874999999995</v>
      </c>
      <c r="U61" s="1"/>
      <c r="V61" s="1"/>
      <c r="W61" s="1"/>
      <c r="X61" s="1"/>
      <c r="Y61" s="1"/>
      <c r="Z61" s="1"/>
      <c r="AA61" s="1"/>
      <c r="AB61" s="1"/>
      <c r="AC61" s="1"/>
      <c r="AD61" s="1"/>
      <c r="AE61" s="82">
        <v>21</v>
      </c>
      <c r="AF61" s="74">
        <v>0.875</v>
      </c>
      <c r="AG61" s="78">
        <v>0.8</v>
      </c>
      <c r="AH61" s="99">
        <f t="shared" si="17"/>
        <v>7.21</v>
      </c>
      <c r="AI61" s="61">
        <f t="shared" si="18"/>
        <v>4.4000000000000004</v>
      </c>
      <c r="AJ61" s="93">
        <f t="shared" si="19"/>
        <v>-2.8099999999999996</v>
      </c>
      <c r="AK61" s="91">
        <f>SUM($AJ$40:AJ61)</f>
        <v>4.1965625000000113</v>
      </c>
      <c r="AL61" s="190">
        <f t="shared" si="20"/>
        <v>18.236562500000012</v>
      </c>
      <c r="AM61" s="1"/>
      <c r="AN61" s="1"/>
      <c r="AO61" s="1"/>
      <c r="AP61" s="1"/>
      <c r="AQ61" s="1"/>
      <c r="AR61" s="1"/>
      <c r="AS61" s="1"/>
      <c r="AT61" s="1"/>
    </row>
    <row r="62" spans="1:46" x14ac:dyDescent="0.25">
      <c r="A62" s="1"/>
      <c r="B62" s="1"/>
      <c r="C62" s="1"/>
      <c r="D62" s="1"/>
      <c r="E62" s="1"/>
      <c r="F62" s="1"/>
      <c r="G62" s="1"/>
      <c r="H62" s="1"/>
      <c r="I62" s="1"/>
      <c r="J62" s="1"/>
      <c r="K62" s="1"/>
      <c r="L62" s="1"/>
      <c r="M62" s="83">
        <v>22</v>
      </c>
      <c r="N62" s="75">
        <v>0.91666666666666696</v>
      </c>
      <c r="O62" s="79">
        <v>0.6</v>
      </c>
      <c r="P62" s="180">
        <f t="shared" si="13"/>
        <v>2.5425</v>
      </c>
      <c r="Q62" s="61">
        <f t="shared" si="14"/>
        <v>2.1</v>
      </c>
      <c r="R62" s="183">
        <f t="shared" si="15"/>
        <v>-0.44249999999999989</v>
      </c>
      <c r="S62" s="188">
        <f>SUM($R$5:R62)</f>
        <v>4.8393749999999969</v>
      </c>
      <c r="T62" s="190">
        <f t="shared" si="16"/>
        <v>18.879374999999996</v>
      </c>
      <c r="U62" s="1"/>
      <c r="V62" s="1"/>
      <c r="W62" s="1"/>
      <c r="X62" s="1"/>
      <c r="Y62" s="1"/>
      <c r="Z62" s="1"/>
      <c r="AA62" s="1"/>
      <c r="AB62" s="1"/>
      <c r="AC62" s="1"/>
      <c r="AD62" s="1"/>
      <c r="AE62" s="83">
        <v>22</v>
      </c>
      <c r="AF62" s="75">
        <v>0.91666666666666696</v>
      </c>
      <c r="AG62" s="79">
        <v>0.6</v>
      </c>
      <c r="AH62" s="99">
        <f t="shared" si="17"/>
        <v>5.4074999999999998</v>
      </c>
      <c r="AI62" s="61">
        <f t="shared" si="18"/>
        <v>4.4000000000000004</v>
      </c>
      <c r="AJ62" s="93">
        <f t="shared" si="19"/>
        <v>-1.0074999999999994</v>
      </c>
      <c r="AK62" s="91">
        <f>SUM($AJ$40:AJ62)</f>
        <v>3.1890625000000119</v>
      </c>
      <c r="AL62" s="190">
        <f t="shared" si="20"/>
        <v>17.229062500000012</v>
      </c>
      <c r="AM62" s="1"/>
      <c r="AN62" s="1"/>
      <c r="AO62" s="1"/>
      <c r="AP62" s="1"/>
      <c r="AQ62" s="1"/>
      <c r="AR62" s="1"/>
      <c r="AS62" s="1"/>
      <c r="AT62" s="1"/>
    </row>
    <row r="63" spans="1:46" ht="15.75" thickBot="1" x14ac:dyDescent="0.3">
      <c r="A63" s="1"/>
      <c r="B63" s="1"/>
      <c r="C63" s="1"/>
      <c r="D63" s="1"/>
      <c r="E63" s="1"/>
      <c r="F63" s="1"/>
      <c r="G63" s="1"/>
      <c r="H63" s="1"/>
      <c r="I63" s="1"/>
      <c r="J63" s="1"/>
      <c r="K63" s="1"/>
      <c r="L63" s="1"/>
      <c r="M63" s="84">
        <v>23</v>
      </c>
      <c r="N63" s="76">
        <v>0.95833333333333304</v>
      </c>
      <c r="O63" s="80">
        <v>0.4</v>
      </c>
      <c r="P63" s="181">
        <f t="shared" si="13"/>
        <v>1.6950000000000001</v>
      </c>
      <c r="Q63" s="62">
        <f t="shared" si="14"/>
        <v>2.1</v>
      </c>
      <c r="R63" s="183">
        <f t="shared" si="15"/>
        <v>0.40500000000000003</v>
      </c>
      <c r="S63" s="188">
        <f>SUM($R$5:R63)</f>
        <v>5.2443749999999971</v>
      </c>
      <c r="T63" s="191">
        <f t="shared" si="16"/>
        <v>19.284374999999997</v>
      </c>
      <c r="U63" s="1"/>
      <c r="V63" s="1"/>
      <c r="W63" s="1"/>
      <c r="X63" s="1"/>
      <c r="Y63" s="1"/>
      <c r="Z63" s="1"/>
      <c r="AA63" s="1"/>
      <c r="AB63" s="1"/>
      <c r="AC63" s="1"/>
      <c r="AD63" s="1"/>
      <c r="AE63" s="84">
        <v>23</v>
      </c>
      <c r="AF63" s="76">
        <v>0.95833333333333304</v>
      </c>
      <c r="AG63" s="80">
        <v>0.4</v>
      </c>
      <c r="AH63" s="100">
        <f t="shared" si="17"/>
        <v>3.605</v>
      </c>
      <c r="AI63" s="62">
        <f t="shared" si="18"/>
        <v>4.4000000000000004</v>
      </c>
      <c r="AJ63" s="93">
        <f t="shared" si="19"/>
        <v>0.79500000000000037</v>
      </c>
      <c r="AK63" s="91">
        <f>SUM($AJ$40:AJ63)</f>
        <v>3.9840625000000123</v>
      </c>
      <c r="AL63" s="191">
        <f t="shared" si="20"/>
        <v>18.02406250000001</v>
      </c>
      <c r="AM63" s="1"/>
      <c r="AN63" s="1"/>
      <c r="AO63" s="1"/>
      <c r="AP63" s="1"/>
      <c r="AQ63" s="1"/>
      <c r="AR63" s="1"/>
      <c r="AS63" s="1"/>
      <c r="AT63" s="1"/>
    </row>
    <row r="64" spans="1:46" ht="15.75" thickBot="1" x14ac:dyDescent="0.3">
      <c r="A64" s="1"/>
      <c r="B64" s="1"/>
      <c r="C64" s="1"/>
      <c r="D64" s="1"/>
      <c r="E64" s="1"/>
      <c r="F64" s="1"/>
      <c r="G64" s="1"/>
      <c r="H64" s="1"/>
      <c r="I64" s="1"/>
      <c r="J64" s="1"/>
      <c r="K64" s="1"/>
      <c r="L64" s="1"/>
      <c r="M64" s="1"/>
      <c r="N64" s="1"/>
      <c r="O64" s="1"/>
      <c r="P64" s="1"/>
      <c r="Q64" s="1"/>
      <c r="R64" s="64" t="s">
        <v>106</v>
      </c>
      <c r="S64" s="69">
        <f>1-(Q40/MAX(P40:P63))</f>
        <v>0.38053097345132747</v>
      </c>
      <c r="T64" s="1"/>
      <c r="U64" s="1"/>
      <c r="V64" s="1"/>
      <c r="W64" s="1"/>
      <c r="X64" s="1"/>
      <c r="Y64" s="1"/>
      <c r="Z64" s="1"/>
      <c r="AA64" s="1"/>
      <c r="AB64" s="1"/>
      <c r="AC64" s="1"/>
      <c r="AD64" s="1"/>
      <c r="AE64" s="1"/>
      <c r="AF64" s="1"/>
      <c r="AG64" s="1"/>
      <c r="AH64" s="1"/>
      <c r="AI64" s="1"/>
      <c r="AJ64" s="64" t="s">
        <v>106</v>
      </c>
      <c r="AK64" s="69">
        <f>1-(AI40/MAX(AH40:AH63))</f>
        <v>0.38973647711511783</v>
      </c>
      <c r="AL64" s="1"/>
      <c r="AM64" s="1"/>
      <c r="AN64" s="1"/>
      <c r="AO64" s="1"/>
      <c r="AP64" s="1"/>
      <c r="AQ64" s="1"/>
      <c r="AR64" s="1"/>
      <c r="AS64" s="1"/>
      <c r="AT64" s="1"/>
    </row>
    <row r="65" spans="1:46" ht="15.75" thickBot="1" x14ac:dyDescent="0.3">
      <c r="A65" s="1"/>
      <c r="B65" s="1"/>
      <c r="C65" s="1"/>
      <c r="D65" s="1"/>
      <c r="E65" s="1"/>
      <c r="F65" s="1"/>
      <c r="G65" s="1"/>
      <c r="H65" s="1"/>
      <c r="I65" s="1"/>
      <c r="J65" s="1"/>
      <c r="K65" s="1"/>
      <c r="L65" s="1"/>
      <c r="M65" s="1"/>
      <c r="N65" s="1"/>
      <c r="O65" s="1"/>
      <c r="P65" s="1"/>
      <c r="Q65" s="1"/>
      <c r="R65" s="65" t="s">
        <v>109</v>
      </c>
      <c r="S65" s="94">
        <f>MAX(S40:S63)</f>
        <v>12.959999999999997</v>
      </c>
      <c r="T65" s="192">
        <f>S65+3*T36</f>
        <v>26.999999999999996</v>
      </c>
      <c r="U65" s="1"/>
      <c r="V65" s="1"/>
      <c r="W65" s="1"/>
      <c r="X65" s="1"/>
      <c r="Y65" s="1"/>
      <c r="Z65" s="1"/>
      <c r="AA65" s="1"/>
      <c r="AB65" s="1"/>
      <c r="AC65" s="1"/>
      <c r="AD65" s="1"/>
      <c r="AE65" s="1"/>
      <c r="AF65" s="1"/>
      <c r="AG65" s="1"/>
      <c r="AH65" s="1"/>
      <c r="AI65" s="1"/>
      <c r="AJ65" s="65" t="s">
        <v>109</v>
      </c>
      <c r="AK65" s="94">
        <f>MAX(AK40:AK63)</f>
        <v>21.455937500000005</v>
      </c>
      <c r="AL65" s="192">
        <f>AK65+3*AL36</f>
        <v>35.495937500000004</v>
      </c>
      <c r="AM65" s="1"/>
      <c r="AN65" s="1"/>
      <c r="AO65" s="1"/>
      <c r="AP65" s="1"/>
      <c r="AQ65" s="1"/>
      <c r="AR65" s="1"/>
      <c r="AS65" s="1"/>
      <c r="AT65" s="1"/>
    </row>
    <row r="66" spans="1:46" x14ac:dyDescent="0.25">
      <c r="A66" s="1"/>
      <c r="B66" s="1"/>
      <c r="C66" s="1"/>
      <c r="D66" s="1"/>
      <c r="E66" s="1"/>
      <c r="F66" s="1"/>
      <c r="G66" s="1"/>
      <c r="H66" s="1"/>
      <c r="I66" s="1"/>
      <c r="J66" s="1"/>
      <c r="K66" s="1"/>
      <c r="L66" s="1"/>
      <c r="M66" s="1"/>
      <c r="N66" s="1"/>
      <c r="O66" s="1"/>
      <c r="P66" s="1"/>
      <c r="Q66" s="1"/>
      <c r="R66" s="65" t="s">
        <v>110</v>
      </c>
      <c r="S66" s="94">
        <f>MAX(R40:R63)</f>
        <v>1.67625</v>
      </c>
      <c r="T66" s="1"/>
      <c r="U66" s="1"/>
      <c r="V66" s="1"/>
      <c r="W66" s="1"/>
      <c r="X66" s="1"/>
      <c r="Y66" s="1"/>
      <c r="Z66" s="1"/>
      <c r="AA66" s="1"/>
      <c r="AB66" s="1"/>
      <c r="AC66" s="1"/>
      <c r="AD66" s="1"/>
      <c r="AE66" s="1"/>
      <c r="AF66" s="1"/>
      <c r="AG66" s="1"/>
      <c r="AH66" s="1"/>
      <c r="AI66" s="1"/>
      <c r="AJ66" s="65" t="s">
        <v>110</v>
      </c>
      <c r="AK66" s="94">
        <f>MAX(AJ40:AJ63)</f>
        <v>3.4987500000000002</v>
      </c>
      <c r="AL66" s="1"/>
      <c r="AM66" s="1"/>
      <c r="AN66" s="1"/>
      <c r="AO66" s="1"/>
      <c r="AP66" s="1"/>
      <c r="AQ66" s="1"/>
      <c r="AR66" s="1"/>
      <c r="AS66" s="1"/>
      <c r="AT66" s="1"/>
    </row>
    <row r="67" spans="1:46" ht="15.75" thickBot="1" x14ac:dyDescent="0.3">
      <c r="A67" s="1"/>
      <c r="B67" s="1"/>
      <c r="C67" s="1"/>
      <c r="D67" s="1"/>
      <c r="E67" s="1"/>
      <c r="F67" s="1"/>
      <c r="G67" s="1"/>
      <c r="H67" s="1"/>
      <c r="I67" s="1"/>
      <c r="J67" s="1"/>
      <c r="K67" s="1"/>
      <c r="L67" s="1"/>
      <c r="M67" s="1"/>
      <c r="N67" s="1"/>
      <c r="O67" s="1"/>
      <c r="P67" s="1"/>
      <c r="Q67" s="1"/>
      <c r="R67" s="66" t="s">
        <v>111</v>
      </c>
      <c r="S67" s="95">
        <f>MIN(R40:R63)</f>
        <v>-1.29</v>
      </c>
      <c r="T67" s="1"/>
      <c r="U67" s="1"/>
      <c r="V67" s="1"/>
      <c r="W67" s="1"/>
      <c r="X67" s="1"/>
      <c r="Y67" s="1"/>
      <c r="Z67" s="1"/>
      <c r="AA67" s="1"/>
      <c r="AB67" s="1"/>
      <c r="AC67" s="1"/>
      <c r="AD67" s="1"/>
      <c r="AE67" s="1"/>
      <c r="AF67" s="1"/>
      <c r="AG67" s="1"/>
      <c r="AH67" s="1"/>
      <c r="AI67" s="1"/>
      <c r="AJ67" s="66" t="s">
        <v>111</v>
      </c>
      <c r="AK67" s="95">
        <f>MIN(AJ40:AJ63)</f>
        <v>-2.8099999999999996</v>
      </c>
      <c r="AL67" s="1"/>
      <c r="AM67" s="1"/>
      <c r="AN67" s="1"/>
      <c r="AO67" s="1"/>
      <c r="AP67" s="1"/>
      <c r="AQ67" s="1"/>
      <c r="AR67" s="1"/>
      <c r="AS67" s="1"/>
      <c r="AT67" s="1"/>
    </row>
    <row r="68" spans="1:4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row>
    <row r="77" spans="1:4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x14ac:dyDescent="0.25">
      <c r="A87" s="1"/>
      <c r="B87" s="1"/>
      <c r="C87" s="1"/>
      <c r="D87" s="1"/>
      <c r="E87" s="1"/>
      <c r="F87" s="1"/>
      <c r="G87" s="1"/>
      <c r="AM87" s="1"/>
      <c r="AN87" s="1"/>
    </row>
  </sheetData>
  <mergeCells count="19">
    <mergeCell ref="M37:N37"/>
    <mergeCell ref="AE37:AG37"/>
    <mergeCell ref="AE1:AG1"/>
    <mergeCell ref="AH1:AI1"/>
    <mergeCell ref="D2:E2"/>
    <mergeCell ref="M2:N2"/>
    <mergeCell ref="V2:W2"/>
    <mergeCell ref="AE2:AG2"/>
    <mergeCell ref="D1:E1"/>
    <mergeCell ref="G1:H1"/>
    <mergeCell ref="M1:N1"/>
    <mergeCell ref="P1:Q1"/>
    <mergeCell ref="V1:W1"/>
    <mergeCell ref="Y1:Z1"/>
    <mergeCell ref="AM12:AN12"/>
    <mergeCell ref="M36:N36"/>
    <mergeCell ref="P36:Q36"/>
    <mergeCell ref="AE36:AG36"/>
    <mergeCell ref="AH36:AI36"/>
  </mergeCells>
  <pageMargins left="0.7" right="0.7" top="0.75" bottom="0.75" header="0.3" footer="0.3"/>
  <pageSetup paperSize="9" orientation="portrait" r:id="rId1"/>
  <headerFooter>
    <oddFooter>&amp;C&amp;1#&amp;"Calibri"&amp;12&amp;K008000Internal Use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66B02-03C0-4170-8E75-728F8644E16C}">
  <sheetPr>
    <tabColor theme="8" tint="-0.249977111117893"/>
  </sheetPr>
  <dimension ref="A1:AT87"/>
  <sheetViews>
    <sheetView topLeftCell="T1" zoomScaleNormal="100" workbookViewId="0">
      <selection activeCell="BJ24" sqref="BJ24"/>
    </sheetView>
  </sheetViews>
  <sheetFormatPr defaultRowHeight="15" x14ac:dyDescent="0.25"/>
  <cols>
    <col min="3" max="3" width="58.28515625" customWidth="1"/>
    <col min="9" max="9" width="22.140625" customWidth="1"/>
    <col min="10" max="10" width="24.140625" customWidth="1"/>
    <col min="18" max="18" width="22.140625" customWidth="1"/>
    <col min="19" max="19" width="24.140625" customWidth="1"/>
    <col min="20" max="20" width="25.42578125" customWidth="1"/>
    <col min="27" max="27" width="22.140625" customWidth="1"/>
    <col min="28" max="28" width="24.140625" customWidth="1"/>
    <col min="36" max="36" width="22.140625" customWidth="1"/>
    <col min="37" max="37" width="24.140625" customWidth="1"/>
    <col min="38" max="38" width="18.7109375" customWidth="1"/>
    <col min="39" max="39" width="22.7109375" customWidth="1"/>
    <col min="42" max="42" width="51.140625" customWidth="1"/>
    <col min="43" max="43" width="14.42578125" customWidth="1"/>
    <col min="44" max="44" width="15" customWidth="1"/>
  </cols>
  <sheetData>
    <row r="1" spans="1:46" x14ac:dyDescent="0.25">
      <c r="A1" s="1"/>
      <c r="B1" s="1"/>
      <c r="C1" s="1"/>
      <c r="D1" s="489" t="s">
        <v>118</v>
      </c>
      <c r="E1" s="491"/>
      <c r="F1" s="1"/>
      <c r="G1" s="484" t="s">
        <v>119</v>
      </c>
      <c r="H1" s="485"/>
      <c r="I1" s="169" t="s">
        <v>113</v>
      </c>
      <c r="J1" s="87"/>
      <c r="K1" s="1"/>
      <c r="L1" s="1"/>
      <c r="M1" s="489" t="s">
        <v>118</v>
      </c>
      <c r="N1" s="491"/>
      <c r="O1" s="1"/>
      <c r="P1" s="484" t="s">
        <v>119</v>
      </c>
      <c r="Q1" s="485"/>
      <c r="R1" s="70" t="s">
        <v>113</v>
      </c>
      <c r="S1" s="71"/>
      <c r="T1" s="1"/>
      <c r="U1" s="1"/>
      <c r="V1" s="489" t="s">
        <v>118</v>
      </c>
      <c r="W1" s="491"/>
      <c r="X1" s="1"/>
      <c r="Y1" s="484" t="s">
        <v>119</v>
      </c>
      <c r="Z1" s="485"/>
      <c r="AA1" s="70" t="s">
        <v>113</v>
      </c>
      <c r="AB1" s="71"/>
      <c r="AC1" s="1"/>
      <c r="AD1" s="1"/>
      <c r="AE1" s="489" t="s">
        <v>118</v>
      </c>
      <c r="AF1" s="490"/>
      <c r="AG1" s="491"/>
      <c r="AH1" s="484" t="s">
        <v>119</v>
      </c>
      <c r="AI1" s="485"/>
      <c r="AJ1" s="70" t="s">
        <v>114</v>
      </c>
      <c r="AK1" s="71"/>
      <c r="AL1" s="1"/>
      <c r="AM1" s="1"/>
      <c r="AN1" s="1"/>
      <c r="AO1" s="1"/>
      <c r="AP1" s="1"/>
      <c r="AQ1" s="1"/>
      <c r="AR1" s="1"/>
      <c r="AS1" s="1"/>
      <c r="AT1" s="1"/>
    </row>
    <row r="2" spans="1:46" ht="15.75" thickBot="1" x14ac:dyDescent="0.3">
      <c r="A2" s="1"/>
      <c r="B2" s="1"/>
      <c r="C2" s="1"/>
      <c r="D2" s="486" t="s">
        <v>107</v>
      </c>
      <c r="E2" s="488"/>
      <c r="F2" s="1"/>
      <c r="G2" s="88" t="s">
        <v>121</v>
      </c>
      <c r="H2" s="89">
        <v>1.23</v>
      </c>
      <c r="I2" s="89" t="s">
        <v>104</v>
      </c>
      <c r="J2" s="68" t="s">
        <v>105</v>
      </c>
      <c r="K2" s="1"/>
      <c r="L2" s="1"/>
      <c r="M2" s="486" t="s">
        <v>219</v>
      </c>
      <c r="N2" s="488"/>
      <c r="O2" s="1"/>
      <c r="P2" s="88" t="s">
        <v>121</v>
      </c>
      <c r="Q2" s="72">
        <v>3.2</v>
      </c>
      <c r="R2" s="72" t="s">
        <v>104</v>
      </c>
      <c r="S2" s="67" t="s">
        <v>105</v>
      </c>
      <c r="T2" s="1"/>
      <c r="U2" s="1"/>
      <c r="V2" s="492" t="s">
        <v>112</v>
      </c>
      <c r="W2" s="493"/>
      <c r="X2" s="1"/>
      <c r="Y2" s="88" t="s">
        <v>121</v>
      </c>
      <c r="Z2" s="72">
        <v>3.5</v>
      </c>
      <c r="AA2" s="72" t="s">
        <v>104</v>
      </c>
      <c r="AB2" s="67" t="s">
        <v>105</v>
      </c>
      <c r="AC2" s="1"/>
      <c r="AD2" s="1"/>
      <c r="AE2" s="486" t="s">
        <v>217</v>
      </c>
      <c r="AF2" s="487"/>
      <c r="AG2" s="488"/>
      <c r="AH2" s="89" t="s">
        <v>121</v>
      </c>
      <c r="AI2" s="72">
        <v>5.7</v>
      </c>
      <c r="AJ2" s="72" t="s">
        <v>104</v>
      </c>
      <c r="AK2" s="67" t="s">
        <v>105</v>
      </c>
      <c r="AL2" s="1"/>
      <c r="AM2" s="1"/>
      <c r="AN2" s="1"/>
      <c r="AO2" s="1"/>
      <c r="AP2" s="1"/>
      <c r="AQ2" s="1"/>
      <c r="AR2" s="1"/>
      <c r="AS2" s="1"/>
      <c r="AT2" s="1"/>
    </row>
    <row r="3" spans="1:46" x14ac:dyDescent="0.25">
      <c r="A3" s="1"/>
      <c r="B3" s="1"/>
      <c r="C3" s="1"/>
      <c r="D3" s="1"/>
      <c r="E3" s="1"/>
      <c r="F3" s="1"/>
      <c r="G3" s="1"/>
      <c r="H3" s="1"/>
      <c r="I3" s="1"/>
      <c r="J3" s="1"/>
      <c r="K3" s="1"/>
      <c r="L3" s="1"/>
      <c r="M3" s="1">
        <v>2.6</v>
      </c>
      <c r="N3" s="1"/>
      <c r="O3" s="1"/>
      <c r="P3" s="1"/>
      <c r="Q3" s="1"/>
      <c r="R3" s="1"/>
      <c r="S3" s="1"/>
      <c r="T3" s="1"/>
      <c r="U3" s="1"/>
      <c r="V3" s="1">
        <v>2.82</v>
      </c>
      <c r="W3" s="1"/>
      <c r="X3" s="1"/>
      <c r="Y3" s="1"/>
      <c r="Z3" s="1"/>
      <c r="AA3" s="1"/>
      <c r="AB3" s="1"/>
      <c r="AC3" s="1"/>
      <c r="AD3" s="1"/>
      <c r="AE3" s="1">
        <v>4.6550000000000002</v>
      </c>
      <c r="AF3" s="1"/>
      <c r="AG3" s="1"/>
      <c r="AH3" s="1"/>
      <c r="AI3" s="1"/>
      <c r="AJ3" s="1"/>
      <c r="AK3" s="1"/>
      <c r="AL3" s="1"/>
      <c r="AM3" s="1"/>
      <c r="AN3" s="1"/>
      <c r="AO3" s="1"/>
      <c r="AP3" s="1"/>
      <c r="AQ3" s="1"/>
      <c r="AR3" s="1"/>
      <c r="AS3" s="1"/>
      <c r="AT3" s="1"/>
    </row>
    <row r="4" spans="1:46" x14ac:dyDescent="0.25">
      <c r="A4" s="1"/>
      <c r="B4" s="1"/>
      <c r="C4" s="1"/>
      <c r="D4" s="85" t="s">
        <v>99</v>
      </c>
      <c r="E4" s="85" t="s">
        <v>100</v>
      </c>
      <c r="F4" s="85" t="s">
        <v>102</v>
      </c>
      <c r="G4" s="85" t="s">
        <v>8</v>
      </c>
      <c r="H4" s="85" t="s">
        <v>101</v>
      </c>
      <c r="I4" s="85" t="s">
        <v>115</v>
      </c>
      <c r="J4" s="85" t="s">
        <v>116</v>
      </c>
      <c r="K4" s="1"/>
      <c r="L4" s="1"/>
      <c r="M4" s="85" t="s">
        <v>99</v>
      </c>
      <c r="N4" s="85" t="s">
        <v>100</v>
      </c>
      <c r="O4" s="85" t="s">
        <v>102</v>
      </c>
      <c r="P4" s="85" t="s">
        <v>8</v>
      </c>
      <c r="Q4" s="184" t="s">
        <v>101</v>
      </c>
      <c r="R4" s="85" t="s">
        <v>115</v>
      </c>
      <c r="S4" s="85" t="s">
        <v>116</v>
      </c>
      <c r="T4" s="1"/>
      <c r="U4" s="1"/>
      <c r="V4" s="63" t="s">
        <v>99</v>
      </c>
      <c r="W4" s="63" t="s">
        <v>100</v>
      </c>
      <c r="X4" s="63" t="s">
        <v>102</v>
      </c>
      <c r="Y4" s="63" t="s">
        <v>8</v>
      </c>
      <c r="Z4" s="63" t="s">
        <v>101</v>
      </c>
      <c r="AA4" s="63" t="s">
        <v>115</v>
      </c>
      <c r="AB4" s="63" t="s">
        <v>116</v>
      </c>
      <c r="AC4" s="1"/>
      <c r="AD4" s="1"/>
      <c r="AE4" s="85" t="s">
        <v>99</v>
      </c>
      <c r="AF4" s="85" t="s">
        <v>100</v>
      </c>
      <c r="AG4" s="85" t="s">
        <v>102</v>
      </c>
      <c r="AH4" s="85" t="s">
        <v>8</v>
      </c>
      <c r="AI4" s="85" t="s">
        <v>101</v>
      </c>
      <c r="AJ4" s="85" t="s">
        <v>115</v>
      </c>
      <c r="AK4" s="85" t="s">
        <v>116</v>
      </c>
      <c r="AL4" s="1"/>
      <c r="AM4" s="1"/>
      <c r="AN4" s="1"/>
      <c r="AO4" s="1"/>
      <c r="AP4" s="1"/>
      <c r="AQ4" s="1"/>
      <c r="AR4" s="1"/>
      <c r="AS4" s="1"/>
      <c r="AT4" s="1"/>
    </row>
    <row r="5" spans="1:46" x14ac:dyDescent="0.25">
      <c r="A5" s="1"/>
      <c r="B5" s="1"/>
      <c r="C5" s="1"/>
      <c r="D5" s="81">
        <v>0</v>
      </c>
      <c r="E5" s="73">
        <v>0</v>
      </c>
      <c r="F5" s="77">
        <v>0.1</v>
      </c>
      <c r="G5" s="98">
        <f>F5*2.5</f>
        <v>0.25</v>
      </c>
      <c r="H5" s="60">
        <f t="shared" ref="H5:H28" si="0">$H$2</f>
        <v>1.23</v>
      </c>
      <c r="I5" s="92">
        <f>H5-G5</f>
        <v>0.98</v>
      </c>
      <c r="J5" s="90">
        <f>I5</f>
        <v>0.98</v>
      </c>
      <c r="K5" s="1"/>
      <c r="L5" s="1"/>
      <c r="M5" s="81">
        <v>0</v>
      </c>
      <c r="N5" s="73">
        <v>0</v>
      </c>
      <c r="O5" s="77">
        <v>0.1</v>
      </c>
      <c r="P5" s="179">
        <f>O5*2.5*$M$3</f>
        <v>0.65</v>
      </c>
      <c r="Q5" s="60">
        <f>$Q$2</f>
        <v>3.2</v>
      </c>
      <c r="R5" s="182">
        <f>Q5-P5</f>
        <v>2.5500000000000003</v>
      </c>
      <c r="S5" s="90">
        <f>R5</f>
        <v>2.5500000000000003</v>
      </c>
      <c r="T5" s="1"/>
      <c r="U5" s="1"/>
      <c r="V5" s="81">
        <v>0</v>
      </c>
      <c r="W5" s="73">
        <v>0</v>
      </c>
      <c r="X5" s="77">
        <v>0.1</v>
      </c>
      <c r="Y5" s="104">
        <f>X5*2.5*$V$3</f>
        <v>0.70499999999999996</v>
      </c>
      <c r="Z5" s="60">
        <f>$Z$2</f>
        <v>3.5</v>
      </c>
      <c r="AA5" s="92">
        <f>Z5-Y5</f>
        <v>2.7949999999999999</v>
      </c>
      <c r="AB5" s="90">
        <f>AA5</f>
        <v>2.7949999999999999</v>
      </c>
      <c r="AC5" s="1"/>
      <c r="AD5" s="1"/>
      <c r="AE5" s="81">
        <v>0</v>
      </c>
      <c r="AF5" s="73">
        <v>0</v>
      </c>
      <c r="AG5" s="77">
        <v>0.1</v>
      </c>
      <c r="AH5" s="98">
        <f>AG5*2.5*$AE$3</f>
        <v>1.1637500000000001</v>
      </c>
      <c r="AI5" s="61">
        <f t="shared" ref="AI5:AI28" si="1">$AI$2</f>
        <v>5.7</v>
      </c>
      <c r="AJ5" s="92">
        <f>AI5-AH5</f>
        <v>4.5362499999999999</v>
      </c>
      <c r="AK5" s="90">
        <f>AJ5</f>
        <v>4.5362499999999999</v>
      </c>
      <c r="AL5" s="60">
        <f>$AI$2</f>
        <v>5.7</v>
      </c>
      <c r="AM5" s="1"/>
      <c r="AN5" s="1"/>
      <c r="AO5" s="1"/>
      <c r="AP5" s="1"/>
      <c r="AQ5" s="1"/>
      <c r="AR5" s="1"/>
      <c r="AS5" s="1"/>
      <c r="AT5" s="1"/>
    </row>
    <row r="6" spans="1:46" x14ac:dyDescent="0.25">
      <c r="A6" s="1"/>
      <c r="B6" s="1"/>
      <c r="C6" s="1"/>
      <c r="D6" s="82">
        <v>1</v>
      </c>
      <c r="E6" s="74">
        <v>4.1666666666666699E-2</v>
      </c>
      <c r="F6" s="78">
        <v>0.2</v>
      </c>
      <c r="G6" s="99">
        <f t="shared" ref="G6:G28" si="2">F6*2.5</f>
        <v>0.5</v>
      </c>
      <c r="H6" s="61">
        <f t="shared" si="0"/>
        <v>1.23</v>
      </c>
      <c r="I6" s="93">
        <f t="shared" ref="I6:I28" si="3">H6-G6</f>
        <v>0.73</v>
      </c>
      <c r="J6" s="91">
        <f>SUM($I$5:I6)</f>
        <v>1.71</v>
      </c>
      <c r="K6" s="1"/>
      <c r="L6" s="1"/>
      <c r="M6" s="82">
        <v>1</v>
      </c>
      <c r="N6" s="74">
        <v>4.1666666666666699E-2</v>
      </c>
      <c r="O6" s="78">
        <v>0.2</v>
      </c>
      <c r="P6" s="180">
        <f t="shared" ref="P6:P28" si="4">O6*2.5*$M$3</f>
        <v>1.3</v>
      </c>
      <c r="Q6" s="61">
        <f t="shared" ref="Q6:Q28" si="5">$Q$2</f>
        <v>3.2</v>
      </c>
      <c r="R6" s="183">
        <f>Q6-P6</f>
        <v>1.9000000000000001</v>
      </c>
      <c r="S6" s="91">
        <f>SUM($R$5:R6)</f>
        <v>4.45</v>
      </c>
      <c r="T6" s="1"/>
      <c r="U6" s="1"/>
      <c r="V6" s="82">
        <v>1</v>
      </c>
      <c r="W6" s="74">
        <v>4.1666666666666699E-2</v>
      </c>
      <c r="X6" s="78">
        <v>0.2</v>
      </c>
      <c r="Y6" s="103">
        <f t="shared" ref="Y6:Y28" si="6">X6*2.5*$V$3</f>
        <v>1.41</v>
      </c>
      <c r="Z6" s="61">
        <f t="shared" ref="Z6:Z27" si="7">$Z$2</f>
        <v>3.5</v>
      </c>
      <c r="AA6" s="93">
        <f t="shared" ref="AA6:AA28" si="8">Z6-Y6</f>
        <v>2.09</v>
      </c>
      <c r="AB6" s="91">
        <f>SUM($AA$5:AA6)</f>
        <v>4.8849999999999998</v>
      </c>
      <c r="AC6" s="1"/>
      <c r="AD6" s="1"/>
      <c r="AE6" s="82">
        <v>1</v>
      </c>
      <c r="AF6" s="74">
        <v>4.1666666666666699E-2</v>
      </c>
      <c r="AG6" s="78">
        <v>0.2</v>
      </c>
      <c r="AH6" s="99">
        <f t="shared" ref="AH6:AH28" si="9">AG6*2.5*$AE$3</f>
        <v>2.3275000000000001</v>
      </c>
      <c r="AI6" s="61">
        <f t="shared" si="1"/>
        <v>5.7</v>
      </c>
      <c r="AJ6" s="93">
        <f t="shared" ref="AJ6:AJ28" si="10">AI6-AH6</f>
        <v>3.3725000000000001</v>
      </c>
      <c r="AK6" s="91">
        <f>SUM($AJ$5:AJ6)</f>
        <v>7.9087499999999995</v>
      </c>
      <c r="AL6" s="61">
        <f t="shared" ref="AL6:AL28" si="11">$AI$2</f>
        <v>5.7</v>
      </c>
      <c r="AM6" s="1"/>
      <c r="AN6" s="1"/>
      <c r="AO6" s="1"/>
      <c r="AP6" s="1"/>
      <c r="AQ6" s="1"/>
      <c r="AR6" s="1"/>
      <c r="AS6" s="1"/>
      <c r="AT6" s="1"/>
    </row>
    <row r="7" spans="1:46" x14ac:dyDescent="0.25">
      <c r="A7" s="1"/>
      <c r="B7" s="1"/>
      <c r="C7" s="1"/>
      <c r="D7" s="82">
        <v>2</v>
      </c>
      <c r="E7" s="74">
        <v>8.3333333333333301E-2</v>
      </c>
      <c r="F7" s="78">
        <v>0.15</v>
      </c>
      <c r="G7" s="99">
        <f t="shared" si="2"/>
        <v>0.375</v>
      </c>
      <c r="H7" s="61">
        <f t="shared" si="0"/>
        <v>1.23</v>
      </c>
      <c r="I7" s="93">
        <f t="shared" si="3"/>
        <v>0.85499999999999998</v>
      </c>
      <c r="J7" s="91">
        <f>SUM($I$5:I7)</f>
        <v>2.5649999999999999</v>
      </c>
      <c r="K7" s="1"/>
      <c r="L7" s="1"/>
      <c r="M7" s="82">
        <v>2</v>
      </c>
      <c r="N7" s="74">
        <v>8.3333333333333301E-2</v>
      </c>
      <c r="O7" s="78">
        <v>0.15</v>
      </c>
      <c r="P7" s="180">
        <f t="shared" si="4"/>
        <v>0.97500000000000009</v>
      </c>
      <c r="Q7" s="61">
        <f t="shared" si="5"/>
        <v>3.2</v>
      </c>
      <c r="R7" s="183">
        <f t="shared" ref="R7:R28" si="12">Q7-P7</f>
        <v>2.2250000000000001</v>
      </c>
      <c r="S7" s="91">
        <f>SUM($R$5:R7)</f>
        <v>6.6750000000000007</v>
      </c>
      <c r="T7" s="1"/>
      <c r="U7" s="1"/>
      <c r="V7" s="82">
        <v>2</v>
      </c>
      <c r="W7" s="74">
        <v>8.3333333333333301E-2</v>
      </c>
      <c r="X7" s="78">
        <v>0.15</v>
      </c>
      <c r="Y7" s="103">
        <f t="shared" si="6"/>
        <v>1.0574999999999999</v>
      </c>
      <c r="Z7" s="61">
        <f t="shared" si="7"/>
        <v>3.5</v>
      </c>
      <c r="AA7" s="93">
        <f t="shared" si="8"/>
        <v>2.4424999999999999</v>
      </c>
      <c r="AB7" s="91">
        <f>SUM($AA$5:AA7)</f>
        <v>7.3274999999999997</v>
      </c>
      <c r="AC7" s="1"/>
      <c r="AD7" s="1"/>
      <c r="AE7" s="82">
        <v>2</v>
      </c>
      <c r="AF7" s="74">
        <v>8.3333333333333301E-2</v>
      </c>
      <c r="AG7" s="78">
        <v>0.15</v>
      </c>
      <c r="AH7" s="99">
        <f t="shared" si="9"/>
        <v>1.745625</v>
      </c>
      <c r="AI7" s="61">
        <f t="shared" si="1"/>
        <v>5.7</v>
      </c>
      <c r="AJ7" s="93">
        <f t="shared" si="10"/>
        <v>3.9543750000000002</v>
      </c>
      <c r="AK7" s="91">
        <f>SUM($AJ$5:AJ7)</f>
        <v>11.863125</v>
      </c>
      <c r="AL7" s="61">
        <f t="shared" si="11"/>
        <v>5.7</v>
      </c>
      <c r="AM7" s="1"/>
      <c r="AN7" s="1"/>
      <c r="AO7" s="1"/>
      <c r="AP7" s="1"/>
      <c r="AQ7" s="1"/>
      <c r="AR7" s="1"/>
      <c r="AS7" s="1"/>
      <c r="AT7" s="1"/>
    </row>
    <row r="8" spans="1:46" x14ac:dyDescent="0.25">
      <c r="A8" s="1"/>
      <c r="B8" s="1"/>
      <c r="C8" s="1"/>
      <c r="D8" s="82">
        <v>3</v>
      </c>
      <c r="E8" s="74">
        <v>0.125</v>
      </c>
      <c r="F8" s="78">
        <v>0.15</v>
      </c>
      <c r="G8" s="99">
        <f t="shared" si="2"/>
        <v>0.375</v>
      </c>
      <c r="H8" s="61">
        <f t="shared" si="0"/>
        <v>1.23</v>
      </c>
      <c r="I8" s="93">
        <f t="shared" si="3"/>
        <v>0.85499999999999998</v>
      </c>
      <c r="J8" s="91">
        <f>SUM($I$5:I8)</f>
        <v>3.42</v>
      </c>
      <c r="K8" s="1"/>
      <c r="L8" s="1"/>
      <c r="M8" s="82">
        <v>3</v>
      </c>
      <c r="N8" s="74">
        <v>0.125</v>
      </c>
      <c r="O8" s="78">
        <v>0.15</v>
      </c>
      <c r="P8" s="180">
        <f t="shared" si="4"/>
        <v>0.97500000000000009</v>
      </c>
      <c r="Q8" s="61">
        <f t="shared" si="5"/>
        <v>3.2</v>
      </c>
      <c r="R8" s="183">
        <f t="shared" si="12"/>
        <v>2.2250000000000001</v>
      </c>
      <c r="S8" s="91">
        <f>SUM($R$5:R8)</f>
        <v>8.9</v>
      </c>
      <c r="T8" s="1"/>
      <c r="U8" s="1"/>
      <c r="V8" s="82">
        <v>3</v>
      </c>
      <c r="W8" s="74">
        <v>0.125</v>
      </c>
      <c r="X8" s="78">
        <v>0.15</v>
      </c>
      <c r="Y8" s="103">
        <f t="shared" si="6"/>
        <v>1.0574999999999999</v>
      </c>
      <c r="Z8" s="61">
        <f t="shared" si="7"/>
        <v>3.5</v>
      </c>
      <c r="AA8" s="93">
        <f t="shared" si="8"/>
        <v>2.4424999999999999</v>
      </c>
      <c r="AB8" s="91">
        <f>SUM($AA$5:AA8)</f>
        <v>9.77</v>
      </c>
      <c r="AC8" s="1"/>
      <c r="AD8" s="1"/>
      <c r="AE8" s="82">
        <v>3</v>
      </c>
      <c r="AF8" s="74">
        <v>0.125</v>
      </c>
      <c r="AG8" s="78">
        <v>0.15</v>
      </c>
      <c r="AH8" s="99">
        <f t="shared" si="9"/>
        <v>1.745625</v>
      </c>
      <c r="AI8" s="61">
        <f t="shared" si="1"/>
        <v>5.7</v>
      </c>
      <c r="AJ8" s="93">
        <f t="shared" si="10"/>
        <v>3.9543750000000002</v>
      </c>
      <c r="AK8" s="91">
        <f>SUM($AJ$5:AJ8)</f>
        <v>15.817500000000001</v>
      </c>
      <c r="AL8" s="61">
        <f t="shared" si="11"/>
        <v>5.7</v>
      </c>
      <c r="AM8" s="1"/>
      <c r="AN8" s="1"/>
      <c r="AO8" s="1"/>
      <c r="AP8" s="1"/>
      <c r="AQ8" s="1"/>
      <c r="AR8" s="1"/>
      <c r="AS8" s="1"/>
      <c r="AT8" s="1"/>
    </row>
    <row r="9" spans="1:46" x14ac:dyDescent="0.25">
      <c r="A9" s="1"/>
      <c r="B9" s="1"/>
      <c r="C9" s="1"/>
      <c r="D9" s="82">
        <v>4</v>
      </c>
      <c r="E9" s="74">
        <v>0.16666666666666699</v>
      </c>
      <c r="F9" s="78">
        <v>0.15</v>
      </c>
      <c r="G9" s="99">
        <f t="shared" si="2"/>
        <v>0.375</v>
      </c>
      <c r="H9" s="61">
        <f t="shared" si="0"/>
        <v>1.23</v>
      </c>
      <c r="I9" s="93">
        <f t="shared" si="3"/>
        <v>0.85499999999999998</v>
      </c>
      <c r="J9" s="91">
        <f>SUM($I$5:I9)</f>
        <v>4.2750000000000004</v>
      </c>
      <c r="K9" s="1"/>
      <c r="L9" s="1"/>
      <c r="M9" s="82">
        <v>4</v>
      </c>
      <c r="N9" s="74">
        <v>0.16666666666666699</v>
      </c>
      <c r="O9" s="78">
        <v>0.15</v>
      </c>
      <c r="P9" s="180">
        <f t="shared" si="4"/>
        <v>0.97500000000000009</v>
      </c>
      <c r="Q9" s="61">
        <f t="shared" si="5"/>
        <v>3.2</v>
      </c>
      <c r="R9" s="183">
        <f t="shared" si="12"/>
        <v>2.2250000000000001</v>
      </c>
      <c r="S9" s="91">
        <f>SUM($R$5:R9)</f>
        <v>11.125</v>
      </c>
      <c r="T9" s="1"/>
      <c r="U9" s="1"/>
      <c r="V9" s="82">
        <v>4</v>
      </c>
      <c r="W9" s="74">
        <v>0.16666666666666699</v>
      </c>
      <c r="X9" s="78">
        <v>0.15</v>
      </c>
      <c r="Y9" s="103">
        <f t="shared" si="6"/>
        <v>1.0574999999999999</v>
      </c>
      <c r="Z9" s="61">
        <f t="shared" si="7"/>
        <v>3.5</v>
      </c>
      <c r="AA9" s="93">
        <f t="shared" si="8"/>
        <v>2.4424999999999999</v>
      </c>
      <c r="AB9" s="91">
        <f>SUM($AA$5:AA9)</f>
        <v>12.212499999999999</v>
      </c>
      <c r="AC9" s="1"/>
      <c r="AD9" s="1"/>
      <c r="AE9" s="82">
        <v>4</v>
      </c>
      <c r="AF9" s="74">
        <v>0.16666666666666699</v>
      </c>
      <c r="AG9" s="78">
        <v>0.15</v>
      </c>
      <c r="AH9" s="99">
        <f t="shared" si="9"/>
        <v>1.745625</v>
      </c>
      <c r="AI9" s="61">
        <f t="shared" si="1"/>
        <v>5.7</v>
      </c>
      <c r="AJ9" s="93">
        <f t="shared" si="10"/>
        <v>3.9543750000000002</v>
      </c>
      <c r="AK9" s="91">
        <f>SUM($AJ$5:AJ9)</f>
        <v>19.771875000000001</v>
      </c>
      <c r="AL9" s="61">
        <f t="shared" si="11"/>
        <v>5.7</v>
      </c>
      <c r="AM9" s="1"/>
      <c r="AN9" s="1"/>
      <c r="AO9" s="1"/>
      <c r="AP9" s="1"/>
      <c r="AQ9" s="1"/>
      <c r="AR9" s="1"/>
      <c r="AS9" s="1"/>
      <c r="AT9" s="1"/>
    </row>
    <row r="10" spans="1:46" x14ac:dyDescent="0.25">
      <c r="A10" s="1"/>
      <c r="B10" s="1"/>
      <c r="C10" s="1"/>
      <c r="D10" s="82">
        <v>5</v>
      </c>
      <c r="E10" s="74">
        <v>0.20833333333333301</v>
      </c>
      <c r="F10" s="78">
        <v>0.17499999999999999</v>
      </c>
      <c r="G10" s="99">
        <f t="shared" si="2"/>
        <v>0.4375</v>
      </c>
      <c r="H10" s="61">
        <f t="shared" si="0"/>
        <v>1.23</v>
      </c>
      <c r="I10" s="93">
        <f t="shared" si="3"/>
        <v>0.79249999999999998</v>
      </c>
      <c r="J10" s="91">
        <f>SUM($I$5:I10)</f>
        <v>5.0675000000000008</v>
      </c>
      <c r="K10" s="1"/>
      <c r="L10" s="1"/>
      <c r="M10" s="82">
        <v>5</v>
      </c>
      <c r="N10" s="74">
        <v>0.20833333333333301</v>
      </c>
      <c r="O10" s="78">
        <v>0.17499999999999999</v>
      </c>
      <c r="P10" s="180">
        <f t="shared" si="4"/>
        <v>1.1375</v>
      </c>
      <c r="Q10" s="61">
        <f t="shared" si="5"/>
        <v>3.2</v>
      </c>
      <c r="R10" s="183">
        <f t="shared" si="12"/>
        <v>2.0625</v>
      </c>
      <c r="S10" s="91">
        <f>SUM($R$5:R10)</f>
        <v>13.1875</v>
      </c>
      <c r="T10" s="1"/>
      <c r="U10" s="1"/>
      <c r="V10" s="82">
        <v>5</v>
      </c>
      <c r="W10" s="74">
        <v>0.20833333333333301</v>
      </c>
      <c r="X10" s="78">
        <v>0.17499999999999999</v>
      </c>
      <c r="Y10" s="103">
        <f t="shared" si="6"/>
        <v>1.2337499999999999</v>
      </c>
      <c r="Z10" s="61">
        <f t="shared" si="7"/>
        <v>3.5</v>
      </c>
      <c r="AA10" s="93">
        <f t="shared" si="8"/>
        <v>2.2662500000000003</v>
      </c>
      <c r="AB10" s="91">
        <f>SUM($AA$5:AA10)</f>
        <v>14.478749999999998</v>
      </c>
      <c r="AC10" s="1"/>
      <c r="AD10" s="1"/>
      <c r="AE10" s="82">
        <v>5</v>
      </c>
      <c r="AF10" s="74">
        <v>0.20833333333333301</v>
      </c>
      <c r="AG10" s="78">
        <v>0.17499999999999999</v>
      </c>
      <c r="AH10" s="99">
        <f t="shared" si="9"/>
        <v>2.0365625000000001</v>
      </c>
      <c r="AI10" s="61">
        <f>$AI$2</f>
        <v>5.7</v>
      </c>
      <c r="AJ10" s="93">
        <f t="shared" si="10"/>
        <v>3.6634375000000001</v>
      </c>
      <c r="AK10" s="91">
        <f>SUM($AJ$5:AJ10)</f>
        <v>23.435312500000002</v>
      </c>
      <c r="AL10" s="61">
        <f t="shared" si="11"/>
        <v>5.7</v>
      </c>
      <c r="AM10" s="1"/>
      <c r="AN10" s="1"/>
      <c r="AO10" s="1"/>
      <c r="AP10" s="1"/>
      <c r="AQ10" s="1"/>
      <c r="AR10" s="1"/>
      <c r="AS10" s="1"/>
      <c r="AT10" s="1"/>
    </row>
    <row r="11" spans="1:46" x14ac:dyDescent="0.25">
      <c r="A11" s="1"/>
      <c r="B11" s="1"/>
      <c r="C11" s="1"/>
      <c r="D11" s="82">
        <v>6</v>
      </c>
      <c r="E11" s="74">
        <v>0.25</v>
      </c>
      <c r="F11" s="78">
        <v>0.2</v>
      </c>
      <c r="G11" s="99">
        <f t="shared" si="2"/>
        <v>0.5</v>
      </c>
      <c r="H11" s="61">
        <f t="shared" si="0"/>
        <v>1.23</v>
      </c>
      <c r="I11" s="93">
        <f t="shared" si="3"/>
        <v>0.73</v>
      </c>
      <c r="J11" s="91">
        <f>SUM($I$5:I11)</f>
        <v>5.7975000000000012</v>
      </c>
      <c r="K11" s="1"/>
      <c r="L11" s="1"/>
      <c r="M11" s="82">
        <v>6</v>
      </c>
      <c r="N11" s="74">
        <v>0.25</v>
      </c>
      <c r="O11" s="78">
        <v>0.2</v>
      </c>
      <c r="P11" s="180">
        <f t="shared" si="4"/>
        <v>1.3</v>
      </c>
      <c r="Q11" s="61">
        <f t="shared" si="5"/>
        <v>3.2</v>
      </c>
      <c r="R11" s="183">
        <f t="shared" si="12"/>
        <v>1.9000000000000001</v>
      </c>
      <c r="S11" s="91">
        <f>SUM($R$5:R11)</f>
        <v>15.0875</v>
      </c>
      <c r="T11" s="1"/>
      <c r="U11" s="1"/>
      <c r="V11" s="82">
        <v>6</v>
      </c>
      <c r="W11" s="74">
        <v>0.25</v>
      </c>
      <c r="X11" s="78">
        <v>0.2</v>
      </c>
      <c r="Y11" s="103">
        <f t="shared" si="6"/>
        <v>1.41</v>
      </c>
      <c r="Z11" s="61">
        <f t="shared" si="7"/>
        <v>3.5</v>
      </c>
      <c r="AA11" s="93">
        <f t="shared" si="8"/>
        <v>2.09</v>
      </c>
      <c r="AB11" s="91">
        <f>SUM($AA$5:AA11)</f>
        <v>16.568749999999998</v>
      </c>
      <c r="AC11" s="1"/>
      <c r="AD11" s="1"/>
      <c r="AE11" s="82">
        <v>6</v>
      </c>
      <c r="AF11" s="74">
        <v>0.25</v>
      </c>
      <c r="AG11" s="78">
        <v>0.2</v>
      </c>
      <c r="AH11" s="99">
        <f t="shared" si="9"/>
        <v>2.3275000000000001</v>
      </c>
      <c r="AI11" s="61">
        <f t="shared" si="1"/>
        <v>5.7</v>
      </c>
      <c r="AJ11" s="93">
        <f t="shared" si="10"/>
        <v>3.3725000000000001</v>
      </c>
      <c r="AK11" s="91">
        <f>SUM($AJ$5:AJ11)</f>
        <v>26.807812500000001</v>
      </c>
      <c r="AL11" s="61">
        <f t="shared" si="11"/>
        <v>5.7</v>
      </c>
      <c r="AM11" s="1"/>
      <c r="AN11" s="1"/>
      <c r="AO11" s="1"/>
      <c r="AP11" s="1"/>
      <c r="AQ11" s="1"/>
      <c r="AR11" s="1"/>
      <c r="AS11" s="1"/>
      <c r="AT11" s="1"/>
    </row>
    <row r="12" spans="1:46" x14ac:dyDescent="0.25">
      <c r="A12" s="1"/>
      <c r="B12" s="1"/>
      <c r="C12" s="1"/>
      <c r="D12" s="82">
        <v>7</v>
      </c>
      <c r="E12" s="74">
        <v>0.29166666666666702</v>
      </c>
      <c r="F12" s="78">
        <v>0.4</v>
      </c>
      <c r="G12" s="99">
        <f t="shared" si="2"/>
        <v>1</v>
      </c>
      <c r="H12" s="61">
        <f t="shared" si="0"/>
        <v>1.23</v>
      </c>
      <c r="I12" s="93">
        <f t="shared" si="3"/>
        <v>0.22999999999999998</v>
      </c>
      <c r="J12" s="91">
        <f>SUM($I$5:I12)</f>
        <v>6.0275000000000016</v>
      </c>
      <c r="K12" s="1"/>
      <c r="L12" s="1"/>
      <c r="M12" s="82">
        <v>7</v>
      </c>
      <c r="N12" s="74">
        <v>0.29166666666666702</v>
      </c>
      <c r="O12" s="78">
        <v>0.4</v>
      </c>
      <c r="P12" s="180">
        <f t="shared" si="4"/>
        <v>2.6</v>
      </c>
      <c r="Q12" s="61">
        <f t="shared" si="5"/>
        <v>3.2</v>
      </c>
      <c r="R12" s="183">
        <f t="shared" si="12"/>
        <v>0.60000000000000009</v>
      </c>
      <c r="S12" s="91">
        <f>SUM($R$5:R12)</f>
        <v>15.6875</v>
      </c>
      <c r="T12" s="1"/>
      <c r="U12" s="1"/>
      <c r="V12" s="82">
        <v>7</v>
      </c>
      <c r="W12" s="74">
        <v>0.29166666666666702</v>
      </c>
      <c r="X12" s="78">
        <v>0.4</v>
      </c>
      <c r="Y12" s="103">
        <f t="shared" si="6"/>
        <v>2.82</v>
      </c>
      <c r="Z12" s="61">
        <f t="shared" si="7"/>
        <v>3.5</v>
      </c>
      <c r="AA12" s="93">
        <f t="shared" si="8"/>
        <v>0.68000000000000016</v>
      </c>
      <c r="AB12" s="91">
        <f>SUM($AA$5:AA12)</f>
        <v>17.248749999999998</v>
      </c>
      <c r="AC12" s="1"/>
      <c r="AD12" s="1"/>
      <c r="AE12" s="82">
        <v>7</v>
      </c>
      <c r="AF12" s="74">
        <v>0.29166666666666702</v>
      </c>
      <c r="AG12" s="78">
        <v>0.4</v>
      </c>
      <c r="AH12" s="99">
        <f t="shared" si="9"/>
        <v>4.6550000000000002</v>
      </c>
      <c r="AI12" s="61">
        <f t="shared" si="1"/>
        <v>5.7</v>
      </c>
      <c r="AJ12" s="93">
        <f t="shared" si="10"/>
        <v>1.0449999999999999</v>
      </c>
      <c r="AK12" s="91">
        <f>SUM($AJ$5:AJ12)</f>
        <v>27.852812499999999</v>
      </c>
      <c r="AL12" s="61">
        <f t="shared" si="11"/>
        <v>5.7</v>
      </c>
      <c r="AM12" s="494" t="s">
        <v>185</v>
      </c>
      <c r="AN12" s="495"/>
      <c r="AO12" s="1"/>
      <c r="AP12" s="1"/>
      <c r="AQ12" s="1"/>
      <c r="AR12" s="1"/>
      <c r="AS12" s="1"/>
      <c r="AT12" s="1"/>
    </row>
    <row r="13" spans="1:46" x14ac:dyDescent="0.25">
      <c r="A13" s="1"/>
      <c r="B13" s="1"/>
      <c r="C13" s="1"/>
      <c r="D13" s="82">
        <v>8</v>
      </c>
      <c r="E13" s="74">
        <v>0.33333333333333298</v>
      </c>
      <c r="F13" s="78">
        <v>0.6</v>
      </c>
      <c r="G13" s="99">
        <f t="shared" si="2"/>
        <v>1.5</v>
      </c>
      <c r="H13" s="61">
        <f t="shared" si="0"/>
        <v>1.23</v>
      </c>
      <c r="I13" s="93">
        <f t="shared" si="3"/>
        <v>-0.27</v>
      </c>
      <c r="J13" s="91">
        <f>SUM($I$5:I13)</f>
        <v>5.7575000000000021</v>
      </c>
      <c r="K13" s="1"/>
      <c r="L13" s="1"/>
      <c r="M13" s="82">
        <v>8</v>
      </c>
      <c r="N13" s="74">
        <v>0.33333333333333298</v>
      </c>
      <c r="O13" s="78">
        <v>0.6</v>
      </c>
      <c r="P13" s="180">
        <f t="shared" si="4"/>
        <v>3.9000000000000004</v>
      </c>
      <c r="Q13" s="61">
        <f t="shared" si="5"/>
        <v>3.2</v>
      </c>
      <c r="R13" s="183">
        <f t="shared" si="12"/>
        <v>-0.70000000000000018</v>
      </c>
      <c r="S13" s="91">
        <f>SUM($R$5:R13)</f>
        <v>14.987500000000001</v>
      </c>
      <c r="T13" s="1"/>
      <c r="U13" s="1"/>
      <c r="V13" s="82">
        <v>8</v>
      </c>
      <c r="W13" s="74">
        <v>0.33333333333333298</v>
      </c>
      <c r="X13" s="78">
        <v>0.6</v>
      </c>
      <c r="Y13" s="103">
        <f t="shared" si="6"/>
        <v>4.2299999999999995</v>
      </c>
      <c r="Z13" s="61">
        <f t="shared" si="7"/>
        <v>3.5</v>
      </c>
      <c r="AA13" s="93">
        <f t="shared" si="8"/>
        <v>-0.72999999999999954</v>
      </c>
      <c r="AB13" s="91">
        <f>SUM($AA$5:AA13)</f>
        <v>16.518749999999997</v>
      </c>
      <c r="AC13" s="1"/>
      <c r="AD13" s="1"/>
      <c r="AE13" s="82">
        <v>8</v>
      </c>
      <c r="AF13" s="74">
        <v>0.33333333333333298</v>
      </c>
      <c r="AG13" s="78">
        <v>0.6</v>
      </c>
      <c r="AH13" s="99">
        <f t="shared" si="9"/>
        <v>6.9824999999999999</v>
      </c>
      <c r="AI13" s="61">
        <f t="shared" si="1"/>
        <v>5.7</v>
      </c>
      <c r="AJ13" s="93">
        <f t="shared" si="10"/>
        <v>-1.2824999999999998</v>
      </c>
      <c r="AK13" s="91">
        <f>SUM($AJ$5:AJ13)</f>
        <v>26.5703125</v>
      </c>
      <c r="AL13" s="61">
        <f t="shared" si="11"/>
        <v>5.7</v>
      </c>
      <c r="AM13" s="73">
        <v>0.33333333333333298</v>
      </c>
      <c r="AN13" s="174">
        <v>0.3</v>
      </c>
      <c r="AO13" s="1"/>
      <c r="AP13" s="1"/>
      <c r="AQ13" s="1"/>
      <c r="AR13" s="1"/>
      <c r="AS13" s="1"/>
      <c r="AT13" s="1"/>
    </row>
    <row r="14" spans="1:46" x14ac:dyDescent="0.25">
      <c r="A14" s="1"/>
      <c r="B14" s="1"/>
      <c r="C14" s="1"/>
      <c r="D14" s="82">
        <v>9</v>
      </c>
      <c r="E14" s="74">
        <v>0.375</v>
      </c>
      <c r="F14" s="78">
        <v>0.6</v>
      </c>
      <c r="G14" s="99">
        <f t="shared" si="2"/>
        <v>1.5</v>
      </c>
      <c r="H14" s="61">
        <f t="shared" si="0"/>
        <v>1.23</v>
      </c>
      <c r="I14" s="93">
        <f t="shared" si="3"/>
        <v>-0.27</v>
      </c>
      <c r="J14" s="91">
        <f>SUM($I$5:I14)</f>
        <v>5.4875000000000025</v>
      </c>
      <c r="K14" s="1"/>
      <c r="L14" s="1"/>
      <c r="M14" s="82">
        <v>9</v>
      </c>
      <c r="N14" s="74">
        <v>0.375</v>
      </c>
      <c r="O14" s="78">
        <v>0.6</v>
      </c>
      <c r="P14" s="180">
        <f t="shared" si="4"/>
        <v>3.9000000000000004</v>
      </c>
      <c r="Q14" s="61">
        <f t="shared" si="5"/>
        <v>3.2</v>
      </c>
      <c r="R14" s="183">
        <f t="shared" si="12"/>
        <v>-0.70000000000000018</v>
      </c>
      <c r="S14" s="91">
        <f>SUM($R$5:R14)</f>
        <v>14.287500000000001</v>
      </c>
      <c r="T14" s="1"/>
      <c r="U14" s="1"/>
      <c r="V14" s="82">
        <v>9</v>
      </c>
      <c r="W14" s="74">
        <v>0.375</v>
      </c>
      <c r="X14" s="78">
        <v>0.6</v>
      </c>
      <c r="Y14" s="103">
        <f t="shared" si="6"/>
        <v>4.2299999999999995</v>
      </c>
      <c r="Z14" s="61">
        <f t="shared" si="7"/>
        <v>3.5</v>
      </c>
      <c r="AA14" s="93">
        <f t="shared" si="8"/>
        <v>-0.72999999999999954</v>
      </c>
      <c r="AB14" s="91">
        <f>SUM($AA$5:AA14)</f>
        <v>15.788749999999997</v>
      </c>
      <c r="AC14" s="1"/>
      <c r="AD14" s="1"/>
      <c r="AE14" s="82">
        <v>9</v>
      </c>
      <c r="AF14" s="74">
        <v>0.375</v>
      </c>
      <c r="AG14" s="78">
        <v>0.6</v>
      </c>
      <c r="AH14" s="99">
        <f t="shared" si="9"/>
        <v>6.9824999999999999</v>
      </c>
      <c r="AI14" s="61">
        <f t="shared" si="1"/>
        <v>5.7</v>
      </c>
      <c r="AJ14" s="93">
        <f t="shared" si="10"/>
        <v>-1.2824999999999998</v>
      </c>
      <c r="AK14" s="91">
        <f>SUM($AJ$5:AJ14)</f>
        <v>25.287812500000001</v>
      </c>
      <c r="AL14" s="61">
        <f t="shared" si="11"/>
        <v>5.7</v>
      </c>
      <c r="AM14" s="74">
        <v>0.375</v>
      </c>
      <c r="AN14" s="175">
        <v>0.3</v>
      </c>
      <c r="AO14" s="1"/>
      <c r="AP14" s="1"/>
      <c r="AQ14" s="1"/>
      <c r="AR14" s="1"/>
      <c r="AS14" s="1"/>
      <c r="AT14" s="1"/>
    </row>
    <row r="15" spans="1:46" x14ac:dyDescent="0.25">
      <c r="A15" s="1"/>
      <c r="B15" s="1"/>
      <c r="C15" s="1"/>
      <c r="D15" s="82">
        <v>10</v>
      </c>
      <c r="E15" s="74">
        <v>0.41666666666666702</v>
      </c>
      <c r="F15" s="78">
        <v>0.55000000000000004</v>
      </c>
      <c r="G15" s="99">
        <f t="shared" si="2"/>
        <v>1.375</v>
      </c>
      <c r="H15" s="61">
        <f t="shared" si="0"/>
        <v>1.23</v>
      </c>
      <c r="I15" s="93">
        <f t="shared" si="3"/>
        <v>-0.14500000000000002</v>
      </c>
      <c r="J15" s="91">
        <f>SUM($I$5:I15)</f>
        <v>5.3425000000000029</v>
      </c>
      <c r="K15" s="1"/>
      <c r="L15" s="1"/>
      <c r="M15" s="82">
        <v>10</v>
      </c>
      <c r="N15" s="74">
        <v>0.41666666666666702</v>
      </c>
      <c r="O15" s="78">
        <v>0.55000000000000004</v>
      </c>
      <c r="P15" s="180">
        <f t="shared" si="4"/>
        <v>3.5750000000000002</v>
      </c>
      <c r="Q15" s="61">
        <f t="shared" si="5"/>
        <v>3.2</v>
      </c>
      <c r="R15" s="183">
        <f t="shared" si="12"/>
        <v>-0.375</v>
      </c>
      <c r="S15" s="91">
        <f>SUM($R$5:R15)</f>
        <v>13.912500000000001</v>
      </c>
      <c r="T15" s="1"/>
      <c r="U15" s="1"/>
      <c r="V15" s="82">
        <v>10</v>
      </c>
      <c r="W15" s="74">
        <v>0.41666666666666702</v>
      </c>
      <c r="X15" s="78">
        <v>0.55000000000000004</v>
      </c>
      <c r="Y15" s="103">
        <f t="shared" si="6"/>
        <v>3.8774999999999999</v>
      </c>
      <c r="Z15" s="61">
        <f t="shared" si="7"/>
        <v>3.5</v>
      </c>
      <c r="AA15" s="93">
        <f t="shared" si="8"/>
        <v>-0.37749999999999995</v>
      </c>
      <c r="AB15" s="91">
        <f>SUM($AA$5:AA15)</f>
        <v>15.411249999999997</v>
      </c>
      <c r="AC15" s="1"/>
      <c r="AD15" s="1"/>
      <c r="AE15" s="82">
        <v>10</v>
      </c>
      <c r="AF15" s="74">
        <v>0.41666666666666702</v>
      </c>
      <c r="AG15" s="78">
        <v>0.55000000000000004</v>
      </c>
      <c r="AH15" s="99">
        <f t="shared" si="9"/>
        <v>6.4006250000000007</v>
      </c>
      <c r="AI15" s="61">
        <f t="shared" si="1"/>
        <v>5.7</v>
      </c>
      <c r="AJ15" s="93">
        <f t="shared" si="10"/>
        <v>-0.7006250000000005</v>
      </c>
      <c r="AK15" s="91">
        <f>SUM($AJ$5:AJ15)</f>
        <v>24.587187499999999</v>
      </c>
      <c r="AL15" s="61">
        <f t="shared" si="11"/>
        <v>5.7</v>
      </c>
      <c r="AM15" s="74">
        <v>0.41666666666666702</v>
      </c>
      <c r="AN15" s="175">
        <v>0.3</v>
      </c>
      <c r="AO15" s="1"/>
      <c r="AP15" s="1"/>
      <c r="AQ15" s="1"/>
      <c r="AR15" s="1"/>
      <c r="AS15" s="1"/>
      <c r="AT15" s="1"/>
    </row>
    <row r="16" spans="1:46" x14ac:dyDescent="0.25">
      <c r="A16" s="1"/>
      <c r="B16" s="1"/>
      <c r="C16" s="1"/>
      <c r="D16" s="82">
        <v>11</v>
      </c>
      <c r="E16" s="74">
        <v>0.45833333333333298</v>
      </c>
      <c r="F16" s="78">
        <v>0.5</v>
      </c>
      <c r="G16" s="99">
        <f t="shared" si="2"/>
        <v>1.25</v>
      </c>
      <c r="H16" s="61">
        <f t="shared" si="0"/>
        <v>1.23</v>
      </c>
      <c r="I16" s="93">
        <f t="shared" si="3"/>
        <v>-2.0000000000000018E-2</v>
      </c>
      <c r="J16" s="91">
        <f>SUM($I$5:I16)</f>
        <v>5.3225000000000033</v>
      </c>
      <c r="K16" s="1"/>
      <c r="L16" s="1"/>
      <c r="M16" s="82">
        <v>11</v>
      </c>
      <c r="N16" s="74">
        <v>0.45833333333333298</v>
      </c>
      <c r="O16" s="78">
        <v>0.5</v>
      </c>
      <c r="P16" s="180">
        <f t="shared" si="4"/>
        <v>3.25</v>
      </c>
      <c r="Q16" s="61">
        <f t="shared" si="5"/>
        <v>3.2</v>
      </c>
      <c r="R16" s="183">
        <f t="shared" si="12"/>
        <v>-4.9999999999999822E-2</v>
      </c>
      <c r="S16" s="91">
        <f>SUM($R$5:R16)</f>
        <v>13.862500000000001</v>
      </c>
      <c r="T16" s="1"/>
      <c r="U16" s="1"/>
      <c r="V16" s="82">
        <v>11</v>
      </c>
      <c r="W16" s="74">
        <v>0.45833333333333298</v>
      </c>
      <c r="X16" s="78">
        <v>0.5</v>
      </c>
      <c r="Y16" s="103">
        <f t="shared" si="6"/>
        <v>3.5249999999999999</v>
      </c>
      <c r="Z16" s="61">
        <f t="shared" si="7"/>
        <v>3.5</v>
      </c>
      <c r="AA16" s="93">
        <f t="shared" si="8"/>
        <v>-2.4999999999999911E-2</v>
      </c>
      <c r="AB16" s="91">
        <f>SUM($AA$5:AA16)</f>
        <v>15.386249999999997</v>
      </c>
      <c r="AC16" s="1"/>
      <c r="AD16" s="1"/>
      <c r="AE16" s="82">
        <v>11</v>
      </c>
      <c r="AF16" s="74">
        <v>0.45833333333333298</v>
      </c>
      <c r="AG16" s="78">
        <v>0.5</v>
      </c>
      <c r="AH16" s="99">
        <f t="shared" si="9"/>
        <v>5.8187500000000005</v>
      </c>
      <c r="AI16" s="61">
        <f t="shared" si="1"/>
        <v>5.7</v>
      </c>
      <c r="AJ16" s="93">
        <f t="shared" si="10"/>
        <v>-0.11875000000000036</v>
      </c>
      <c r="AK16" s="91">
        <f>SUM($AJ$5:AJ16)</f>
        <v>24.4684375</v>
      </c>
      <c r="AL16" s="61">
        <f t="shared" si="11"/>
        <v>5.7</v>
      </c>
      <c r="AM16" s="74">
        <v>0.45833333333333298</v>
      </c>
      <c r="AN16" s="175">
        <v>0.3</v>
      </c>
      <c r="AO16" s="1"/>
      <c r="AP16" s="1"/>
      <c r="AQ16" s="1"/>
      <c r="AR16" s="1"/>
      <c r="AS16" s="1"/>
      <c r="AT16" s="1"/>
    </row>
    <row r="17" spans="1:46" x14ac:dyDescent="0.25">
      <c r="A17" s="1"/>
      <c r="B17" s="1"/>
      <c r="C17" s="1"/>
      <c r="D17" s="82">
        <v>12</v>
      </c>
      <c r="E17" s="74">
        <v>0.5</v>
      </c>
      <c r="F17" s="78">
        <v>0.5</v>
      </c>
      <c r="G17" s="99">
        <f t="shared" si="2"/>
        <v>1.25</v>
      </c>
      <c r="H17" s="61">
        <f t="shared" si="0"/>
        <v>1.23</v>
      </c>
      <c r="I17" s="93">
        <f t="shared" si="3"/>
        <v>-2.0000000000000018E-2</v>
      </c>
      <c r="J17" s="91">
        <f>SUM($I$5:I17)</f>
        <v>5.3025000000000038</v>
      </c>
      <c r="K17" s="1"/>
      <c r="L17" s="1"/>
      <c r="M17" s="82">
        <v>12</v>
      </c>
      <c r="N17" s="74">
        <v>0.5</v>
      </c>
      <c r="O17" s="78">
        <v>0.5</v>
      </c>
      <c r="P17" s="180">
        <f t="shared" si="4"/>
        <v>3.25</v>
      </c>
      <c r="Q17" s="61">
        <f t="shared" si="5"/>
        <v>3.2</v>
      </c>
      <c r="R17" s="183">
        <f t="shared" si="12"/>
        <v>-4.9999999999999822E-2</v>
      </c>
      <c r="S17" s="91">
        <f>SUM($R$5:R17)</f>
        <v>13.8125</v>
      </c>
      <c r="T17" s="1"/>
      <c r="U17" s="1"/>
      <c r="V17" s="82">
        <v>12</v>
      </c>
      <c r="W17" s="74">
        <v>0.5</v>
      </c>
      <c r="X17" s="78">
        <v>0.5</v>
      </c>
      <c r="Y17" s="103">
        <f t="shared" si="6"/>
        <v>3.5249999999999999</v>
      </c>
      <c r="Z17" s="61">
        <f t="shared" si="7"/>
        <v>3.5</v>
      </c>
      <c r="AA17" s="93">
        <f t="shared" si="8"/>
        <v>-2.4999999999999911E-2</v>
      </c>
      <c r="AB17" s="91">
        <f>SUM($AA$5:AA17)</f>
        <v>15.361249999999997</v>
      </c>
      <c r="AC17" s="1"/>
      <c r="AD17" s="1"/>
      <c r="AE17" s="82">
        <v>12</v>
      </c>
      <c r="AF17" s="74">
        <v>0.5</v>
      </c>
      <c r="AG17" s="78">
        <v>0.5</v>
      </c>
      <c r="AH17" s="99">
        <f t="shared" si="9"/>
        <v>5.8187500000000005</v>
      </c>
      <c r="AI17" s="61">
        <f t="shared" si="1"/>
        <v>5.7</v>
      </c>
      <c r="AJ17" s="93">
        <f t="shared" si="10"/>
        <v>-0.11875000000000036</v>
      </c>
      <c r="AK17" s="91">
        <f>SUM($AJ$5:AJ17)</f>
        <v>24.349687500000002</v>
      </c>
      <c r="AL17" s="61">
        <f t="shared" si="11"/>
        <v>5.7</v>
      </c>
      <c r="AM17" s="74">
        <v>0.5</v>
      </c>
      <c r="AN17" s="175">
        <v>0.3</v>
      </c>
      <c r="AO17" s="1"/>
      <c r="AP17" s="1"/>
      <c r="AQ17" s="1"/>
      <c r="AR17" s="1"/>
      <c r="AS17" s="1"/>
      <c r="AT17" s="1"/>
    </row>
    <row r="18" spans="1:46" x14ac:dyDescent="0.25">
      <c r="A18" s="1"/>
      <c r="B18" s="1"/>
      <c r="C18" s="1"/>
      <c r="D18" s="82">
        <v>13</v>
      </c>
      <c r="E18" s="74">
        <v>0.54166666666666696</v>
      </c>
      <c r="F18" s="78">
        <v>0.5</v>
      </c>
      <c r="G18" s="99">
        <f t="shared" si="2"/>
        <v>1.25</v>
      </c>
      <c r="H18" s="61">
        <f t="shared" si="0"/>
        <v>1.23</v>
      </c>
      <c r="I18" s="93">
        <f t="shared" si="3"/>
        <v>-2.0000000000000018E-2</v>
      </c>
      <c r="J18" s="91">
        <f>SUM($I$5:I18)</f>
        <v>5.2825000000000042</v>
      </c>
      <c r="K18" s="1"/>
      <c r="L18" s="1"/>
      <c r="M18" s="82">
        <v>13</v>
      </c>
      <c r="N18" s="74">
        <v>0.54166666666666696</v>
      </c>
      <c r="O18" s="78">
        <v>0.5</v>
      </c>
      <c r="P18" s="180">
        <f t="shared" si="4"/>
        <v>3.25</v>
      </c>
      <c r="Q18" s="61">
        <f t="shared" si="5"/>
        <v>3.2</v>
      </c>
      <c r="R18" s="183">
        <f t="shared" si="12"/>
        <v>-4.9999999999999822E-2</v>
      </c>
      <c r="S18" s="91">
        <f>SUM($R$5:R18)</f>
        <v>13.762499999999999</v>
      </c>
      <c r="T18" s="1"/>
      <c r="U18" s="1"/>
      <c r="V18" s="82">
        <v>13</v>
      </c>
      <c r="W18" s="74">
        <v>0.54166666666666696</v>
      </c>
      <c r="X18" s="78">
        <v>0.5</v>
      </c>
      <c r="Y18" s="103">
        <f t="shared" si="6"/>
        <v>3.5249999999999999</v>
      </c>
      <c r="Z18" s="61">
        <f t="shared" si="7"/>
        <v>3.5</v>
      </c>
      <c r="AA18" s="93">
        <f t="shared" si="8"/>
        <v>-2.4999999999999911E-2</v>
      </c>
      <c r="AB18" s="91">
        <f>SUM($AA$5:AA18)</f>
        <v>15.336249999999996</v>
      </c>
      <c r="AC18" s="1"/>
      <c r="AD18" s="1"/>
      <c r="AE18" s="82">
        <v>13</v>
      </c>
      <c r="AF18" s="74">
        <v>0.54166666666666696</v>
      </c>
      <c r="AG18" s="78">
        <v>0.5</v>
      </c>
      <c r="AH18" s="99">
        <f t="shared" si="9"/>
        <v>5.8187500000000005</v>
      </c>
      <c r="AI18" s="61">
        <f t="shared" si="1"/>
        <v>5.7</v>
      </c>
      <c r="AJ18" s="93">
        <f t="shared" si="10"/>
        <v>-0.11875000000000036</v>
      </c>
      <c r="AK18" s="91">
        <f>SUM($AJ$5:AJ18)</f>
        <v>24.230937500000003</v>
      </c>
      <c r="AL18" s="61">
        <f t="shared" si="11"/>
        <v>5.7</v>
      </c>
      <c r="AM18" s="74">
        <v>0.54166666666666696</v>
      </c>
      <c r="AN18" s="175">
        <v>0.3</v>
      </c>
      <c r="AO18" s="1"/>
      <c r="AP18" s="1"/>
      <c r="AQ18" s="1"/>
      <c r="AR18" s="1"/>
      <c r="AS18" s="1"/>
      <c r="AT18" s="1"/>
    </row>
    <row r="19" spans="1:46" x14ac:dyDescent="0.25">
      <c r="A19" s="1"/>
      <c r="B19" s="1"/>
      <c r="C19" s="1"/>
      <c r="D19" s="82">
        <v>14</v>
      </c>
      <c r="E19" s="74">
        <v>0.58333333333333304</v>
      </c>
      <c r="F19" s="78">
        <v>0.5</v>
      </c>
      <c r="G19" s="99">
        <f t="shared" si="2"/>
        <v>1.25</v>
      </c>
      <c r="H19" s="61">
        <f t="shared" si="0"/>
        <v>1.23</v>
      </c>
      <c r="I19" s="93">
        <f t="shared" si="3"/>
        <v>-2.0000000000000018E-2</v>
      </c>
      <c r="J19" s="91">
        <f>SUM($I$5:I19)</f>
        <v>5.2625000000000046</v>
      </c>
      <c r="K19" s="1"/>
      <c r="L19" s="1"/>
      <c r="M19" s="82">
        <v>14</v>
      </c>
      <c r="N19" s="74">
        <v>0.58333333333333304</v>
      </c>
      <c r="O19" s="78">
        <v>0.5</v>
      </c>
      <c r="P19" s="180">
        <f t="shared" si="4"/>
        <v>3.25</v>
      </c>
      <c r="Q19" s="61">
        <f t="shared" si="5"/>
        <v>3.2</v>
      </c>
      <c r="R19" s="183">
        <f t="shared" si="12"/>
        <v>-4.9999999999999822E-2</v>
      </c>
      <c r="S19" s="91">
        <f>SUM($R$5:R19)</f>
        <v>13.712499999999999</v>
      </c>
      <c r="T19" s="1"/>
      <c r="U19" s="1"/>
      <c r="V19" s="82">
        <v>14</v>
      </c>
      <c r="W19" s="74">
        <v>0.58333333333333304</v>
      </c>
      <c r="X19" s="78">
        <v>0.5</v>
      </c>
      <c r="Y19" s="103">
        <f t="shared" si="6"/>
        <v>3.5249999999999999</v>
      </c>
      <c r="Z19" s="61">
        <f t="shared" si="7"/>
        <v>3.5</v>
      </c>
      <c r="AA19" s="93">
        <f t="shared" si="8"/>
        <v>-2.4999999999999911E-2</v>
      </c>
      <c r="AB19" s="91">
        <f>SUM($AA$5:AA19)</f>
        <v>15.311249999999996</v>
      </c>
      <c r="AC19" s="1"/>
      <c r="AD19" s="1"/>
      <c r="AE19" s="82">
        <v>14</v>
      </c>
      <c r="AF19" s="74">
        <v>0.58333333333333304</v>
      </c>
      <c r="AG19" s="78">
        <v>0.5</v>
      </c>
      <c r="AH19" s="99">
        <f t="shared" si="9"/>
        <v>5.8187500000000005</v>
      </c>
      <c r="AI19" s="61">
        <f t="shared" si="1"/>
        <v>5.7</v>
      </c>
      <c r="AJ19" s="93">
        <f t="shared" si="10"/>
        <v>-0.11875000000000036</v>
      </c>
      <c r="AK19" s="91">
        <f>SUM($AJ$5:AJ19)</f>
        <v>24.112187500000005</v>
      </c>
      <c r="AL19" s="61">
        <f t="shared" si="11"/>
        <v>5.7</v>
      </c>
      <c r="AM19" s="74">
        <v>0.58333333333333304</v>
      </c>
      <c r="AN19" s="175">
        <v>0.3</v>
      </c>
      <c r="AO19" s="1"/>
      <c r="AP19" s="1"/>
      <c r="AQ19" s="1"/>
      <c r="AR19" s="1"/>
      <c r="AS19" s="1"/>
      <c r="AT19" s="1"/>
    </row>
    <row r="20" spans="1:46" x14ac:dyDescent="0.25">
      <c r="A20" s="1"/>
      <c r="B20" s="1"/>
      <c r="C20" s="1"/>
      <c r="D20" s="82">
        <v>15</v>
      </c>
      <c r="E20" s="74">
        <v>0.625</v>
      </c>
      <c r="F20" s="78">
        <v>0.5</v>
      </c>
      <c r="G20" s="99">
        <f t="shared" si="2"/>
        <v>1.25</v>
      </c>
      <c r="H20" s="61">
        <f t="shared" si="0"/>
        <v>1.23</v>
      </c>
      <c r="I20" s="93">
        <f t="shared" si="3"/>
        <v>-2.0000000000000018E-2</v>
      </c>
      <c r="J20" s="91">
        <f>SUM($I$5:I20)</f>
        <v>5.242500000000005</v>
      </c>
      <c r="K20" s="1"/>
      <c r="L20" s="1"/>
      <c r="M20" s="82">
        <v>15</v>
      </c>
      <c r="N20" s="74">
        <v>0.625</v>
      </c>
      <c r="O20" s="78">
        <v>0.5</v>
      </c>
      <c r="P20" s="180">
        <f t="shared" si="4"/>
        <v>3.25</v>
      </c>
      <c r="Q20" s="61">
        <f t="shared" si="5"/>
        <v>3.2</v>
      </c>
      <c r="R20" s="183">
        <f t="shared" si="12"/>
        <v>-4.9999999999999822E-2</v>
      </c>
      <c r="S20" s="91">
        <f>SUM($R$5:R20)</f>
        <v>13.662499999999998</v>
      </c>
      <c r="T20" s="1"/>
      <c r="U20" s="1"/>
      <c r="V20" s="82">
        <v>15</v>
      </c>
      <c r="W20" s="74">
        <v>0.625</v>
      </c>
      <c r="X20" s="78">
        <v>0.5</v>
      </c>
      <c r="Y20" s="103">
        <f t="shared" si="6"/>
        <v>3.5249999999999999</v>
      </c>
      <c r="Z20" s="61">
        <f t="shared" si="7"/>
        <v>3.5</v>
      </c>
      <c r="AA20" s="93">
        <f t="shared" si="8"/>
        <v>-2.4999999999999911E-2</v>
      </c>
      <c r="AB20" s="91">
        <f>SUM($AA$5:AA20)</f>
        <v>15.286249999999995</v>
      </c>
      <c r="AC20" s="1"/>
      <c r="AD20" s="1"/>
      <c r="AE20" s="82">
        <v>15</v>
      </c>
      <c r="AF20" s="74">
        <v>0.625</v>
      </c>
      <c r="AG20" s="78">
        <v>0.5</v>
      </c>
      <c r="AH20" s="99">
        <f t="shared" si="9"/>
        <v>5.8187500000000005</v>
      </c>
      <c r="AI20" s="61">
        <f t="shared" si="1"/>
        <v>5.7</v>
      </c>
      <c r="AJ20" s="93">
        <f t="shared" si="10"/>
        <v>-0.11875000000000036</v>
      </c>
      <c r="AK20" s="91">
        <f>SUM($AJ$5:AJ20)</f>
        <v>23.993437500000006</v>
      </c>
      <c r="AL20" s="61">
        <f t="shared" si="11"/>
        <v>5.7</v>
      </c>
      <c r="AM20" s="74">
        <v>0.625</v>
      </c>
      <c r="AN20" s="175">
        <v>0.3</v>
      </c>
      <c r="AO20" s="1"/>
      <c r="AP20" s="1"/>
      <c r="AQ20" s="1"/>
      <c r="AR20" s="1"/>
      <c r="AS20" s="1"/>
      <c r="AT20" s="1"/>
    </row>
    <row r="21" spans="1:46" x14ac:dyDescent="0.25">
      <c r="A21" s="1"/>
      <c r="B21" s="1"/>
      <c r="C21" s="1"/>
      <c r="D21" s="82">
        <v>16</v>
      </c>
      <c r="E21" s="74">
        <v>0.66666666666666696</v>
      </c>
      <c r="F21" s="78">
        <v>0.6</v>
      </c>
      <c r="G21" s="99">
        <f t="shared" si="2"/>
        <v>1.5</v>
      </c>
      <c r="H21" s="61">
        <f t="shared" si="0"/>
        <v>1.23</v>
      </c>
      <c r="I21" s="93">
        <f t="shared" si="3"/>
        <v>-0.27</v>
      </c>
      <c r="J21" s="91">
        <f>SUM($I$5:I21)</f>
        <v>4.9725000000000055</v>
      </c>
      <c r="K21" s="1"/>
      <c r="L21" s="1"/>
      <c r="M21" s="82">
        <v>16</v>
      </c>
      <c r="N21" s="74">
        <v>0.66666666666666696</v>
      </c>
      <c r="O21" s="78">
        <v>0.6</v>
      </c>
      <c r="P21" s="180">
        <f t="shared" si="4"/>
        <v>3.9000000000000004</v>
      </c>
      <c r="Q21" s="61">
        <f t="shared" si="5"/>
        <v>3.2</v>
      </c>
      <c r="R21" s="183">
        <f t="shared" si="12"/>
        <v>-0.70000000000000018</v>
      </c>
      <c r="S21" s="91">
        <f>SUM($R$5:R21)</f>
        <v>12.962499999999999</v>
      </c>
      <c r="T21" s="1"/>
      <c r="U21" s="1"/>
      <c r="V21" s="82">
        <v>16</v>
      </c>
      <c r="W21" s="74">
        <v>0.66666666666666696</v>
      </c>
      <c r="X21" s="78">
        <v>0.6</v>
      </c>
      <c r="Y21" s="103">
        <f t="shared" si="6"/>
        <v>4.2299999999999995</v>
      </c>
      <c r="Z21" s="61">
        <f t="shared" si="7"/>
        <v>3.5</v>
      </c>
      <c r="AA21" s="93">
        <f t="shared" si="8"/>
        <v>-0.72999999999999954</v>
      </c>
      <c r="AB21" s="91">
        <f>SUM($AA$5:AA21)</f>
        <v>14.556249999999995</v>
      </c>
      <c r="AC21" s="1"/>
      <c r="AD21" s="1"/>
      <c r="AE21" s="82">
        <v>16</v>
      </c>
      <c r="AF21" s="74">
        <v>0.66666666666666696</v>
      </c>
      <c r="AG21" s="78">
        <v>0.6</v>
      </c>
      <c r="AH21" s="99">
        <f t="shared" si="9"/>
        <v>6.9824999999999999</v>
      </c>
      <c r="AI21" s="61">
        <f t="shared" si="1"/>
        <v>5.7</v>
      </c>
      <c r="AJ21" s="93">
        <f t="shared" si="10"/>
        <v>-1.2824999999999998</v>
      </c>
      <c r="AK21" s="91">
        <f>SUM($AJ$5:AJ21)</f>
        <v>22.710937500000007</v>
      </c>
      <c r="AL21" s="61">
        <f t="shared" si="11"/>
        <v>5.7</v>
      </c>
      <c r="AM21" s="173">
        <v>0.66666666666666696</v>
      </c>
      <c r="AN21" s="176">
        <v>0.3</v>
      </c>
      <c r="AO21" s="1"/>
      <c r="AP21" s="1"/>
      <c r="AQ21" s="1"/>
      <c r="AR21" s="1"/>
      <c r="AS21" s="1"/>
      <c r="AT21" s="1"/>
    </row>
    <row r="22" spans="1:46" x14ac:dyDescent="0.25">
      <c r="A22" s="1"/>
      <c r="B22" s="1"/>
      <c r="C22" s="1"/>
      <c r="D22" s="82">
        <v>17</v>
      </c>
      <c r="E22" s="74">
        <v>0.70833333333333304</v>
      </c>
      <c r="F22" s="78">
        <v>0.7</v>
      </c>
      <c r="G22" s="99">
        <f t="shared" si="2"/>
        <v>1.75</v>
      </c>
      <c r="H22" s="61">
        <f t="shared" si="0"/>
        <v>1.23</v>
      </c>
      <c r="I22" s="93">
        <f t="shared" si="3"/>
        <v>-0.52</v>
      </c>
      <c r="J22" s="91">
        <f>SUM($I$5:I22)</f>
        <v>4.4525000000000059</v>
      </c>
      <c r="K22" s="1"/>
      <c r="L22" s="1"/>
      <c r="M22" s="82">
        <v>17</v>
      </c>
      <c r="N22" s="74">
        <v>0.70833333333333304</v>
      </c>
      <c r="O22" s="78">
        <v>0.7</v>
      </c>
      <c r="P22" s="180">
        <f t="shared" si="4"/>
        <v>4.55</v>
      </c>
      <c r="Q22" s="61">
        <f t="shared" si="5"/>
        <v>3.2</v>
      </c>
      <c r="R22" s="183">
        <f t="shared" si="12"/>
        <v>-1.3499999999999996</v>
      </c>
      <c r="S22" s="91">
        <f>SUM($R$5:R22)</f>
        <v>11.612499999999999</v>
      </c>
      <c r="T22" s="1"/>
      <c r="U22" s="1"/>
      <c r="V22" s="82">
        <v>17</v>
      </c>
      <c r="W22" s="74">
        <v>0.70833333333333304</v>
      </c>
      <c r="X22" s="78">
        <v>0.7</v>
      </c>
      <c r="Y22" s="103">
        <f t="shared" si="6"/>
        <v>4.9349999999999996</v>
      </c>
      <c r="Z22" s="61">
        <f t="shared" si="7"/>
        <v>3.5</v>
      </c>
      <c r="AA22" s="93">
        <f t="shared" si="8"/>
        <v>-1.4349999999999996</v>
      </c>
      <c r="AB22" s="91">
        <f>SUM($AA$5:AA22)</f>
        <v>13.121249999999996</v>
      </c>
      <c r="AC22" s="1"/>
      <c r="AD22" s="1"/>
      <c r="AE22" s="82">
        <v>17</v>
      </c>
      <c r="AF22" s="74">
        <v>0.70833333333333304</v>
      </c>
      <c r="AG22" s="78">
        <v>0.7</v>
      </c>
      <c r="AH22" s="99">
        <f t="shared" si="9"/>
        <v>8.1462500000000002</v>
      </c>
      <c r="AI22" s="61">
        <f t="shared" si="1"/>
        <v>5.7</v>
      </c>
      <c r="AJ22" s="93">
        <f t="shared" si="10"/>
        <v>-2.44625</v>
      </c>
      <c r="AK22" s="91">
        <f>SUM($AJ$5:AJ22)</f>
        <v>20.264687500000008</v>
      </c>
      <c r="AL22" s="61">
        <f t="shared" si="11"/>
        <v>5.7</v>
      </c>
      <c r="AM22" s="174" t="s">
        <v>191</v>
      </c>
      <c r="AN22" s="174">
        <f>SUM(AN13:AN21)</f>
        <v>2.6999999999999997</v>
      </c>
      <c r="AO22" s="1"/>
      <c r="AP22" s="1"/>
      <c r="AQ22" s="1"/>
      <c r="AR22" s="1"/>
      <c r="AS22" s="1"/>
      <c r="AT22" s="1"/>
    </row>
    <row r="23" spans="1:46" x14ac:dyDescent="0.25">
      <c r="A23" s="1"/>
      <c r="B23" s="1"/>
      <c r="C23" s="1"/>
      <c r="D23" s="82">
        <v>18</v>
      </c>
      <c r="E23" s="74">
        <v>0.75</v>
      </c>
      <c r="F23" s="78">
        <v>0.8</v>
      </c>
      <c r="G23" s="99">
        <f t="shared" si="2"/>
        <v>2</v>
      </c>
      <c r="H23" s="61">
        <f t="shared" si="0"/>
        <v>1.23</v>
      </c>
      <c r="I23" s="93">
        <f t="shared" si="3"/>
        <v>-0.77</v>
      </c>
      <c r="J23" s="91">
        <f>SUM($I$5:I23)</f>
        <v>3.6825000000000059</v>
      </c>
      <c r="K23" s="1"/>
      <c r="L23" s="1"/>
      <c r="M23" s="82">
        <v>18</v>
      </c>
      <c r="N23" s="74">
        <v>0.75</v>
      </c>
      <c r="O23" s="78">
        <v>0.8</v>
      </c>
      <c r="P23" s="180">
        <f t="shared" si="4"/>
        <v>5.2</v>
      </c>
      <c r="Q23" s="61">
        <f t="shared" si="5"/>
        <v>3.2</v>
      </c>
      <c r="R23" s="183">
        <f t="shared" si="12"/>
        <v>-2</v>
      </c>
      <c r="S23" s="91">
        <f>SUM($R$5:R23)</f>
        <v>9.6124999999999989</v>
      </c>
      <c r="T23" s="1"/>
      <c r="U23" s="1"/>
      <c r="V23" s="82">
        <v>18</v>
      </c>
      <c r="W23" s="74">
        <v>0.75</v>
      </c>
      <c r="X23" s="78">
        <v>0.8</v>
      </c>
      <c r="Y23" s="103">
        <f t="shared" si="6"/>
        <v>5.64</v>
      </c>
      <c r="Z23" s="61">
        <f t="shared" si="7"/>
        <v>3.5</v>
      </c>
      <c r="AA23" s="93">
        <f t="shared" si="8"/>
        <v>-2.1399999999999997</v>
      </c>
      <c r="AB23" s="91">
        <f>SUM($AA$5:AA23)</f>
        <v>10.981249999999996</v>
      </c>
      <c r="AC23" s="1"/>
      <c r="AD23" s="1"/>
      <c r="AE23" s="82">
        <v>18</v>
      </c>
      <c r="AF23" s="74">
        <v>0.75</v>
      </c>
      <c r="AG23" s="78">
        <v>0.8</v>
      </c>
      <c r="AH23" s="99">
        <f>AG23*2.5*$AE$3</f>
        <v>9.31</v>
      </c>
      <c r="AI23" s="61">
        <f t="shared" si="1"/>
        <v>5.7</v>
      </c>
      <c r="AJ23" s="93">
        <f t="shared" si="10"/>
        <v>-3.6100000000000003</v>
      </c>
      <c r="AK23" s="91">
        <f>SUM($AJ$5:AJ23)</f>
        <v>16.654687500000009</v>
      </c>
      <c r="AL23" s="61">
        <f t="shared" si="11"/>
        <v>5.7</v>
      </c>
      <c r="AM23" s="175" t="s">
        <v>194</v>
      </c>
      <c r="AN23" s="175">
        <f>AN22/24</f>
        <v>0.11249999999999999</v>
      </c>
      <c r="AO23" s="1"/>
      <c r="AP23" s="1"/>
      <c r="AQ23" s="1"/>
      <c r="AR23" s="1"/>
      <c r="AS23" s="1"/>
      <c r="AT23" s="1"/>
    </row>
    <row r="24" spans="1:46" x14ac:dyDescent="0.25">
      <c r="A24" s="1"/>
      <c r="B24" s="1"/>
      <c r="C24" s="1"/>
      <c r="D24" s="82">
        <v>19</v>
      </c>
      <c r="E24" s="74">
        <v>0.79166666666666696</v>
      </c>
      <c r="F24" s="78">
        <v>0.8</v>
      </c>
      <c r="G24" s="99">
        <f t="shared" si="2"/>
        <v>2</v>
      </c>
      <c r="H24" s="61">
        <f t="shared" si="0"/>
        <v>1.23</v>
      </c>
      <c r="I24" s="93">
        <f t="shared" si="3"/>
        <v>-0.77</v>
      </c>
      <c r="J24" s="91">
        <f>SUM($I$5:I24)</f>
        <v>2.9125000000000059</v>
      </c>
      <c r="K24" s="1"/>
      <c r="L24" s="1"/>
      <c r="M24" s="82">
        <v>19</v>
      </c>
      <c r="N24" s="74">
        <v>0.79166666666666696</v>
      </c>
      <c r="O24" s="78">
        <v>0.8</v>
      </c>
      <c r="P24" s="180">
        <f t="shared" si="4"/>
        <v>5.2</v>
      </c>
      <c r="Q24" s="61">
        <f t="shared" si="5"/>
        <v>3.2</v>
      </c>
      <c r="R24" s="183">
        <f t="shared" si="12"/>
        <v>-2</v>
      </c>
      <c r="S24" s="91">
        <f>SUM($R$5:R24)</f>
        <v>7.6124999999999989</v>
      </c>
      <c r="T24" s="1"/>
      <c r="U24" s="1"/>
      <c r="V24" s="82">
        <v>19</v>
      </c>
      <c r="W24" s="74">
        <v>0.79166666666666696</v>
      </c>
      <c r="X24" s="78">
        <v>0.8</v>
      </c>
      <c r="Y24" s="103">
        <f t="shared" si="6"/>
        <v>5.64</v>
      </c>
      <c r="Z24" s="61">
        <f t="shared" si="7"/>
        <v>3.5</v>
      </c>
      <c r="AA24" s="93">
        <f t="shared" si="8"/>
        <v>-2.1399999999999997</v>
      </c>
      <c r="AB24" s="91">
        <f>SUM($AA$5:AA24)</f>
        <v>8.8412499999999952</v>
      </c>
      <c r="AC24" s="1"/>
      <c r="AD24" s="1"/>
      <c r="AE24" s="82">
        <v>19</v>
      </c>
      <c r="AF24" s="74">
        <v>0.79166666666666696</v>
      </c>
      <c r="AG24" s="78">
        <v>0.8</v>
      </c>
      <c r="AH24" s="99">
        <f t="shared" si="9"/>
        <v>9.31</v>
      </c>
      <c r="AI24" s="61">
        <f t="shared" si="1"/>
        <v>5.7</v>
      </c>
      <c r="AJ24" s="93">
        <f t="shared" si="10"/>
        <v>-3.6100000000000003</v>
      </c>
      <c r="AK24" s="91">
        <f>SUM($AJ$5:AJ24)</f>
        <v>13.044687500000009</v>
      </c>
      <c r="AL24" s="61">
        <f t="shared" si="11"/>
        <v>5.7</v>
      </c>
      <c r="AM24" s="175" t="s">
        <v>192</v>
      </c>
      <c r="AN24" s="175">
        <f>AI5-AN23</f>
        <v>5.5875000000000004</v>
      </c>
      <c r="AO24" s="1"/>
      <c r="AP24" s="1"/>
      <c r="AQ24" s="1"/>
      <c r="AR24" s="1"/>
      <c r="AS24" s="1"/>
      <c r="AT24" s="1"/>
    </row>
    <row r="25" spans="1:46" x14ac:dyDescent="0.25">
      <c r="A25" s="1"/>
      <c r="B25" s="1"/>
      <c r="C25" s="1"/>
      <c r="D25" s="82">
        <v>20</v>
      </c>
      <c r="E25" s="74">
        <v>0.83333333333333304</v>
      </c>
      <c r="F25" s="78">
        <v>0.8</v>
      </c>
      <c r="G25" s="99">
        <f t="shared" si="2"/>
        <v>2</v>
      </c>
      <c r="H25" s="61">
        <f t="shared" si="0"/>
        <v>1.23</v>
      </c>
      <c r="I25" s="93">
        <f t="shared" si="3"/>
        <v>-0.77</v>
      </c>
      <c r="J25" s="91">
        <f>SUM($I$5:I25)</f>
        <v>2.1425000000000058</v>
      </c>
      <c r="K25" s="1"/>
      <c r="L25" s="1"/>
      <c r="M25" s="82">
        <v>20</v>
      </c>
      <c r="N25" s="74">
        <v>0.83333333333333304</v>
      </c>
      <c r="O25" s="78">
        <v>0.8</v>
      </c>
      <c r="P25" s="180">
        <f t="shared" si="4"/>
        <v>5.2</v>
      </c>
      <c r="Q25" s="61">
        <f t="shared" si="5"/>
        <v>3.2</v>
      </c>
      <c r="R25" s="183">
        <f t="shared" si="12"/>
        <v>-2</v>
      </c>
      <c r="S25" s="91">
        <f>SUM($R$5:R25)</f>
        <v>5.6124999999999989</v>
      </c>
      <c r="T25" s="1"/>
      <c r="U25" s="1"/>
      <c r="V25" s="82">
        <v>20</v>
      </c>
      <c r="W25" s="74">
        <v>0.83333333333333304</v>
      </c>
      <c r="X25" s="78">
        <v>0.8</v>
      </c>
      <c r="Y25" s="103">
        <f t="shared" si="6"/>
        <v>5.64</v>
      </c>
      <c r="Z25" s="61">
        <f t="shared" si="7"/>
        <v>3.5</v>
      </c>
      <c r="AA25" s="93">
        <f t="shared" si="8"/>
        <v>-2.1399999999999997</v>
      </c>
      <c r="AB25" s="91">
        <f>SUM($AA$5:AA25)</f>
        <v>6.7012499999999955</v>
      </c>
      <c r="AC25" s="1"/>
      <c r="AD25" s="1"/>
      <c r="AE25" s="82">
        <v>20</v>
      </c>
      <c r="AF25" s="74">
        <v>0.83333333333333304</v>
      </c>
      <c r="AG25" s="78">
        <v>0.8</v>
      </c>
      <c r="AH25" s="99">
        <f t="shared" si="9"/>
        <v>9.31</v>
      </c>
      <c r="AI25" s="61">
        <f t="shared" si="1"/>
        <v>5.7</v>
      </c>
      <c r="AJ25" s="93">
        <f t="shared" si="10"/>
        <v>-3.6100000000000003</v>
      </c>
      <c r="AK25" s="91">
        <f>SUM($AJ$5:AJ25)</f>
        <v>9.4346875000000097</v>
      </c>
      <c r="AL25" s="61">
        <f t="shared" si="11"/>
        <v>5.7</v>
      </c>
      <c r="AM25" s="176" t="s">
        <v>193</v>
      </c>
      <c r="AN25" s="177">
        <f>AN24/AI5</f>
        <v>0.98026315789473684</v>
      </c>
      <c r="AO25" s="1"/>
      <c r="AP25" s="1"/>
      <c r="AQ25" s="1"/>
      <c r="AR25" s="1"/>
      <c r="AS25" s="1"/>
      <c r="AT25" s="1"/>
    </row>
    <row r="26" spans="1:46" x14ac:dyDescent="0.25">
      <c r="A26" s="1"/>
      <c r="B26" s="1"/>
      <c r="C26" s="1"/>
      <c r="D26" s="82">
        <v>21</v>
      </c>
      <c r="E26" s="74">
        <v>0.875</v>
      </c>
      <c r="F26" s="78">
        <v>0.8</v>
      </c>
      <c r="G26" s="99">
        <f t="shared" si="2"/>
        <v>2</v>
      </c>
      <c r="H26" s="61">
        <f t="shared" si="0"/>
        <v>1.23</v>
      </c>
      <c r="I26" s="93">
        <f t="shared" si="3"/>
        <v>-0.77</v>
      </c>
      <c r="J26" s="91">
        <f>SUM($I$5:I26)</f>
        <v>1.3725000000000058</v>
      </c>
      <c r="K26" s="1"/>
      <c r="L26" s="1"/>
      <c r="M26" s="82">
        <v>21</v>
      </c>
      <c r="N26" s="74">
        <v>0.875</v>
      </c>
      <c r="O26" s="78">
        <v>0.8</v>
      </c>
      <c r="P26" s="180">
        <f t="shared" si="4"/>
        <v>5.2</v>
      </c>
      <c r="Q26" s="61">
        <f t="shared" si="5"/>
        <v>3.2</v>
      </c>
      <c r="R26" s="183">
        <f t="shared" si="12"/>
        <v>-2</v>
      </c>
      <c r="S26" s="91">
        <f>SUM($R$5:R26)</f>
        <v>3.6124999999999989</v>
      </c>
      <c r="T26" s="1"/>
      <c r="U26" s="1"/>
      <c r="V26" s="82">
        <v>21</v>
      </c>
      <c r="W26" s="74">
        <v>0.875</v>
      </c>
      <c r="X26" s="78">
        <v>0.8</v>
      </c>
      <c r="Y26" s="103">
        <f t="shared" si="6"/>
        <v>5.64</v>
      </c>
      <c r="Z26" s="61">
        <f t="shared" si="7"/>
        <v>3.5</v>
      </c>
      <c r="AA26" s="93">
        <f t="shared" si="8"/>
        <v>-2.1399999999999997</v>
      </c>
      <c r="AB26" s="91">
        <f>SUM($AA$5:AA26)</f>
        <v>4.5612499999999958</v>
      </c>
      <c r="AC26" s="1"/>
      <c r="AD26" s="1"/>
      <c r="AE26" s="82">
        <v>21</v>
      </c>
      <c r="AF26" s="74">
        <v>0.875</v>
      </c>
      <c r="AG26" s="78">
        <v>0.8</v>
      </c>
      <c r="AH26" s="99">
        <f t="shared" si="9"/>
        <v>9.31</v>
      </c>
      <c r="AI26" s="61">
        <f t="shared" si="1"/>
        <v>5.7</v>
      </c>
      <c r="AJ26" s="93">
        <f t="shared" si="10"/>
        <v>-3.6100000000000003</v>
      </c>
      <c r="AK26" s="91">
        <f>SUM($AJ$5:AJ26)</f>
        <v>5.8246875000000093</v>
      </c>
      <c r="AL26" s="61">
        <f t="shared" si="11"/>
        <v>5.7</v>
      </c>
      <c r="AM26" s="1"/>
      <c r="AN26" s="1"/>
      <c r="AO26" s="1"/>
      <c r="AP26" s="1"/>
      <c r="AQ26" s="1"/>
      <c r="AR26" s="1"/>
      <c r="AS26" s="1"/>
      <c r="AT26" s="1"/>
    </row>
    <row r="27" spans="1:46" x14ac:dyDescent="0.25">
      <c r="A27" s="1"/>
      <c r="B27" s="1"/>
      <c r="C27" s="1"/>
      <c r="D27" s="83">
        <v>22</v>
      </c>
      <c r="E27" s="75">
        <v>0.91666666666666696</v>
      </c>
      <c r="F27" s="79">
        <v>0.6</v>
      </c>
      <c r="G27" s="99">
        <f t="shared" si="2"/>
        <v>1.5</v>
      </c>
      <c r="H27" s="61">
        <f t="shared" si="0"/>
        <v>1.23</v>
      </c>
      <c r="I27" s="93">
        <f t="shared" si="3"/>
        <v>-0.27</v>
      </c>
      <c r="J27" s="91">
        <f>SUM($I$5:I27)</f>
        <v>1.1025000000000058</v>
      </c>
      <c r="K27" s="1"/>
      <c r="L27" s="1"/>
      <c r="M27" s="83">
        <v>22</v>
      </c>
      <c r="N27" s="75">
        <v>0.91666666666666696</v>
      </c>
      <c r="O27" s="79">
        <v>0.6</v>
      </c>
      <c r="P27" s="180">
        <f t="shared" si="4"/>
        <v>3.9000000000000004</v>
      </c>
      <c r="Q27" s="61">
        <f t="shared" si="5"/>
        <v>3.2</v>
      </c>
      <c r="R27" s="183">
        <f t="shared" si="12"/>
        <v>-0.70000000000000018</v>
      </c>
      <c r="S27" s="91">
        <f>SUM($R$5:R27)</f>
        <v>2.9124999999999988</v>
      </c>
      <c r="T27" s="1"/>
      <c r="U27" s="1"/>
      <c r="V27" s="83">
        <v>22</v>
      </c>
      <c r="W27" s="75">
        <v>0.91666666666666696</v>
      </c>
      <c r="X27" s="79">
        <v>0.6</v>
      </c>
      <c r="Y27" s="103">
        <f t="shared" si="6"/>
        <v>4.2299999999999995</v>
      </c>
      <c r="Z27" s="61">
        <f t="shared" si="7"/>
        <v>3.5</v>
      </c>
      <c r="AA27" s="93">
        <f t="shared" si="8"/>
        <v>-0.72999999999999954</v>
      </c>
      <c r="AB27" s="91">
        <f>SUM($AA$5:AA27)</f>
        <v>3.8312499999999963</v>
      </c>
      <c r="AC27" s="1"/>
      <c r="AD27" s="1"/>
      <c r="AE27" s="83">
        <v>22</v>
      </c>
      <c r="AF27" s="75">
        <v>0.91666666666666696</v>
      </c>
      <c r="AG27" s="79">
        <v>0.6</v>
      </c>
      <c r="AH27" s="99">
        <f t="shared" si="9"/>
        <v>6.9824999999999999</v>
      </c>
      <c r="AI27" s="61">
        <f t="shared" si="1"/>
        <v>5.7</v>
      </c>
      <c r="AJ27" s="93">
        <f t="shared" si="10"/>
        <v>-1.2824999999999998</v>
      </c>
      <c r="AK27" s="91">
        <f>SUM($AJ$5:AJ27)</f>
        <v>4.5421875000000096</v>
      </c>
      <c r="AL27" s="61">
        <f t="shared" si="11"/>
        <v>5.7</v>
      </c>
      <c r="AM27" s="1"/>
      <c r="AN27" s="1"/>
      <c r="AO27" s="1"/>
      <c r="AP27" s="1"/>
      <c r="AQ27" s="1"/>
      <c r="AR27" s="1"/>
      <c r="AS27" s="1"/>
      <c r="AT27" s="1"/>
    </row>
    <row r="28" spans="1:46" ht="15.75" thickBot="1" x14ac:dyDescent="0.3">
      <c r="A28" s="1"/>
      <c r="B28" s="1"/>
      <c r="C28" s="1"/>
      <c r="D28" s="84">
        <v>23</v>
      </c>
      <c r="E28" s="76">
        <v>0.95833333333333304</v>
      </c>
      <c r="F28" s="80">
        <v>0.4</v>
      </c>
      <c r="G28" s="100">
        <f t="shared" si="2"/>
        <v>1</v>
      </c>
      <c r="H28" s="62">
        <f t="shared" si="0"/>
        <v>1.23</v>
      </c>
      <c r="I28" s="93">
        <f t="shared" si="3"/>
        <v>0.22999999999999998</v>
      </c>
      <c r="J28" s="91">
        <f>SUM($I$5:I28)</f>
        <v>1.3325000000000058</v>
      </c>
      <c r="K28" s="1"/>
      <c r="L28" s="1"/>
      <c r="M28" s="84">
        <v>23</v>
      </c>
      <c r="N28" s="76">
        <v>0.95833333333333304</v>
      </c>
      <c r="O28" s="80">
        <v>0.4</v>
      </c>
      <c r="P28" s="181">
        <f t="shared" si="4"/>
        <v>2.6</v>
      </c>
      <c r="Q28" s="62">
        <f t="shared" si="5"/>
        <v>3.2</v>
      </c>
      <c r="R28" s="183">
        <f t="shared" si="12"/>
        <v>0.60000000000000009</v>
      </c>
      <c r="S28" s="91">
        <f>SUM($R$5:R28)</f>
        <v>3.5124999999999988</v>
      </c>
      <c r="T28" s="1"/>
      <c r="U28" s="1"/>
      <c r="V28" s="84">
        <v>23</v>
      </c>
      <c r="W28" s="76">
        <v>0.95833333333333304</v>
      </c>
      <c r="X28" s="80">
        <v>0.4</v>
      </c>
      <c r="Y28" s="105">
        <f t="shared" si="6"/>
        <v>2.82</v>
      </c>
      <c r="Z28" s="62">
        <f>$Z$2</f>
        <v>3.5</v>
      </c>
      <c r="AA28" s="93">
        <f t="shared" si="8"/>
        <v>0.68000000000000016</v>
      </c>
      <c r="AB28" s="91">
        <f>SUM($AA$5:AA28)</f>
        <v>4.5112499999999969</v>
      </c>
      <c r="AC28" s="1"/>
      <c r="AD28" s="1"/>
      <c r="AE28" s="84">
        <v>23</v>
      </c>
      <c r="AF28" s="76">
        <v>0.95833333333333304</v>
      </c>
      <c r="AG28" s="80">
        <v>0.4</v>
      </c>
      <c r="AH28" s="100">
        <f t="shared" si="9"/>
        <v>4.6550000000000002</v>
      </c>
      <c r="AI28" s="62">
        <f t="shared" si="1"/>
        <v>5.7</v>
      </c>
      <c r="AJ28" s="93">
        <f t="shared" si="10"/>
        <v>1.0449999999999999</v>
      </c>
      <c r="AK28" s="91">
        <f>SUM($AJ$5:AJ28)</f>
        <v>5.5871875000000095</v>
      </c>
      <c r="AL28" s="62">
        <f t="shared" si="11"/>
        <v>5.7</v>
      </c>
      <c r="AM28" s="1"/>
      <c r="AN28" s="1"/>
      <c r="AO28" s="1"/>
      <c r="AP28" s="1"/>
      <c r="AQ28" s="1"/>
      <c r="AR28" s="1"/>
      <c r="AS28" s="1"/>
      <c r="AT28" s="1"/>
    </row>
    <row r="29" spans="1:46" x14ac:dyDescent="0.25">
      <c r="A29" s="1"/>
      <c r="B29" s="1"/>
      <c r="C29" s="1"/>
      <c r="D29" s="1"/>
      <c r="E29" s="1"/>
      <c r="F29" s="1"/>
      <c r="G29" s="13"/>
      <c r="H29" s="1"/>
      <c r="I29" s="64" t="s">
        <v>106</v>
      </c>
      <c r="J29" s="96">
        <f>1-(1.23/2)</f>
        <v>0.38500000000000001</v>
      </c>
      <c r="K29" s="1"/>
      <c r="L29" s="1"/>
      <c r="M29" s="1"/>
      <c r="N29" s="1"/>
      <c r="O29" s="1"/>
      <c r="P29" s="1"/>
      <c r="Q29" s="1"/>
      <c r="R29" s="64" t="s">
        <v>106</v>
      </c>
      <c r="S29" s="69">
        <f>1-(Q5/MAX(P5:P28))</f>
        <v>0.38461538461538458</v>
      </c>
      <c r="T29" s="1"/>
      <c r="U29" s="1"/>
      <c r="V29" s="1"/>
      <c r="W29" s="1"/>
      <c r="X29" s="1"/>
      <c r="Y29" s="1"/>
      <c r="Z29" s="1"/>
      <c r="AA29" s="64" t="s">
        <v>106</v>
      </c>
      <c r="AB29" s="69">
        <f>1-(Z5/MAX(Y5:Y28))</f>
        <v>0.37943262411347511</v>
      </c>
      <c r="AC29" s="1"/>
      <c r="AD29" s="1"/>
      <c r="AE29" s="1"/>
      <c r="AF29" s="1"/>
      <c r="AG29" s="1"/>
      <c r="AH29" s="1"/>
      <c r="AI29" s="1"/>
      <c r="AJ29" s="64" t="s">
        <v>106</v>
      </c>
      <c r="AK29" s="69">
        <f>1-(AI5/MAX(AH5:AH28))</f>
        <v>0.38775510204081631</v>
      </c>
      <c r="AL29" s="1"/>
      <c r="AM29" s="1"/>
      <c r="AN29" s="1"/>
      <c r="AO29" s="1"/>
      <c r="AP29" s="1"/>
      <c r="AQ29" s="1"/>
      <c r="AR29" s="1"/>
      <c r="AS29" s="1"/>
      <c r="AT29" s="1"/>
    </row>
    <row r="30" spans="1:46" x14ac:dyDescent="0.25">
      <c r="A30" s="1"/>
      <c r="B30" s="1"/>
      <c r="C30" s="1"/>
      <c r="D30" s="1"/>
      <c r="E30" s="1"/>
      <c r="F30" s="1"/>
      <c r="G30" s="1"/>
      <c r="H30" s="1"/>
      <c r="I30" s="65" t="s">
        <v>109</v>
      </c>
      <c r="J30" s="94">
        <f>MAX(J5:J28)</f>
        <v>6.0275000000000016</v>
      </c>
      <c r="K30" s="1"/>
      <c r="L30" s="1"/>
      <c r="M30" s="1"/>
      <c r="N30" s="1"/>
      <c r="O30" s="1"/>
      <c r="P30" s="1"/>
      <c r="Q30" s="1"/>
      <c r="R30" s="65" t="s">
        <v>109</v>
      </c>
      <c r="S30" s="94">
        <f>MAX(S5:S28)</f>
        <v>15.6875</v>
      </c>
      <c r="T30" s="1"/>
      <c r="U30" s="1"/>
      <c r="V30" s="1"/>
      <c r="W30" s="1"/>
      <c r="X30" s="1"/>
      <c r="Y30" s="1"/>
      <c r="Z30" s="1"/>
      <c r="AA30" s="65" t="s">
        <v>109</v>
      </c>
      <c r="AB30" s="97">
        <f>MAX(AB5:AB28)</f>
        <v>17.248749999999998</v>
      </c>
      <c r="AC30" s="1"/>
      <c r="AD30" s="1"/>
      <c r="AE30" s="1"/>
      <c r="AF30" s="1"/>
      <c r="AG30" s="1"/>
      <c r="AH30" s="1"/>
      <c r="AI30" s="1"/>
      <c r="AJ30" s="65" t="s">
        <v>109</v>
      </c>
      <c r="AK30" s="97">
        <f>MAX(AK5:AK28)</f>
        <v>27.852812499999999</v>
      </c>
      <c r="AL30" s="1"/>
      <c r="AM30" s="1"/>
      <c r="AN30" s="1"/>
      <c r="AO30" s="1"/>
      <c r="AP30" s="1"/>
      <c r="AQ30" s="1"/>
      <c r="AR30" s="1"/>
      <c r="AS30" s="1"/>
      <c r="AT30" s="1"/>
    </row>
    <row r="31" spans="1:46" x14ac:dyDescent="0.25">
      <c r="A31" s="1"/>
      <c r="B31" s="1"/>
      <c r="C31" s="1"/>
      <c r="D31" s="1"/>
      <c r="E31" s="1"/>
      <c r="F31" s="1"/>
      <c r="G31" s="1"/>
      <c r="H31" s="1"/>
      <c r="I31" s="65" t="s">
        <v>120</v>
      </c>
      <c r="J31" s="94">
        <f>MAX(I5:I28)</f>
        <v>0.98</v>
      </c>
      <c r="K31" s="1"/>
      <c r="L31" s="1"/>
      <c r="M31" s="1"/>
      <c r="N31" s="1"/>
      <c r="O31" s="1"/>
      <c r="P31" s="1"/>
      <c r="Q31" s="1"/>
      <c r="R31" s="65" t="s">
        <v>110</v>
      </c>
      <c r="S31" s="94">
        <f>MAX(R5:R28)</f>
        <v>2.5500000000000003</v>
      </c>
      <c r="T31" s="1"/>
      <c r="U31" s="1"/>
      <c r="V31" s="1"/>
      <c r="W31" s="1"/>
      <c r="X31" s="1"/>
      <c r="Y31" s="1"/>
      <c r="Z31" s="1"/>
      <c r="AA31" s="65" t="s">
        <v>110</v>
      </c>
      <c r="AB31" s="94">
        <f>MAX(AA5:AA28)</f>
        <v>2.7949999999999999</v>
      </c>
      <c r="AC31" s="1"/>
      <c r="AD31" s="1"/>
      <c r="AE31" s="1"/>
      <c r="AF31" s="1"/>
      <c r="AG31" s="1"/>
      <c r="AH31" s="1"/>
      <c r="AI31" s="1"/>
      <c r="AJ31" s="65" t="s">
        <v>110</v>
      </c>
      <c r="AK31" s="97">
        <f>MAX(AJ5:AJ28)</f>
        <v>4.5362499999999999</v>
      </c>
      <c r="AL31" s="1"/>
      <c r="AM31" s="1"/>
      <c r="AN31" s="1"/>
      <c r="AO31" s="1"/>
      <c r="AP31" s="1"/>
      <c r="AQ31" s="1"/>
      <c r="AR31" s="1"/>
      <c r="AS31" s="1"/>
      <c r="AT31" s="1"/>
    </row>
    <row r="32" spans="1:46" ht="15.75" thickBot="1" x14ac:dyDescent="0.3">
      <c r="A32" s="1"/>
      <c r="B32" s="1"/>
      <c r="C32" s="1"/>
      <c r="D32" s="1"/>
      <c r="E32" s="1"/>
      <c r="F32" s="1"/>
      <c r="G32" s="1"/>
      <c r="H32" s="1"/>
      <c r="I32" s="66" t="s">
        <v>111</v>
      </c>
      <c r="J32" s="95">
        <f>MIN(I5:I28)</f>
        <v>-0.77</v>
      </c>
      <c r="K32" s="1"/>
      <c r="L32" s="1"/>
      <c r="M32" s="1"/>
      <c r="N32" s="1"/>
      <c r="O32" s="1"/>
      <c r="P32" s="1"/>
      <c r="Q32" s="1"/>
      <c r="R32" s="66" t="s">
        <v>111</v>
      </c>
      <c r="S32" s="95">
        <f>MIN(R5:R28)</f>
        <v>-2</v>
      </c>
      <c r="T32" s="1"/>
      <c r="U32" s="1"/>
      <c r="V32" s="1"/>
      <c r="W32" s="1"/>
      <c r="X32" s="1"/>
      <c r="Y32" s="1"/>
      <c r="Z32" s="1"/>
      <c r="AA32" s="66" t="s">
        <v>111</v>
      </c>
      <c r="AB32" s="95">
        <f>MIN(AA5:AA28)</f>
        <v>-2.1399999999999997</v>
      </c>
      <c r="AC32" s="1"/>
      <c r="AD32" s="1"/>
      <c r="AE32" s="1"/>
      <c r="AF32" s="1"/>
      <c r="AG32" s="1"/>
      <c r="AH32" s="1"/>
      <c r="AI32" s="1"/>
      <c r="AJ32" s="66" t="s">
        <v>111</v>
      </c>
      <c r="AK32" s="95">
        <f>MIN(AJ5:AJ28)</f>
        <v>-3.6100000000000003</v>
      </c>
      <c r="AL32" s="1"/>
      <c r="AM32" s="1"/>
      <c r="AN32" s="1"/>
      <c r="AO32" s="1"/>
      <c r="AP32" s="1"/>
      <c r="AQ32" s="1"/>
      <c r="AR32" s="1"/>
      <c r="AS32" s="1"/>
      <c r="AT32" s="1"/>
    </row>
    <row r="33" spans="1:4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row>
    <row r="34" spans="1:4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5.75" thickBot="1" x14ac:dyDescent="0.3">
      <c r="A35" s="1"/>
      <c r="B35" s="1"/>
      <c r="C35" s="1"/>
      <c r="D35" s="1" t="s">
        <v>124</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5.75" thickBot="1" x14ac:dyDescent="0.3">
      <c r="A36" s="1"/>
      <c r="B36" s="1"/>
      <c r="C36" s="1"/>
      <c r="D36" s="1"/>
      <c r="E36" s="1"/>
      <c r="F36" s="1"/>
      <c r="G36" s="1"/>
      <c r="H36" s="1"/>
      <c r="I36" s="1"/>
      <c r="J36" s="1"/>
      <c r="K36" s="1"/>
      <c r="L36" s="1"/>
      <c r="M36" s="489" t="s">
        <v>118</v>
      </c>
      <c r="N36" s="491"/>
      <c r="O36" s="1"/>
      <c r="P36" s="484" t="s">
        <v>119</v>
      </c>
      <c r="Q36" s="485"/>
      <c r="R36" s="70" t="s">
        <v>113</v>
      </c>
      <c r="S36" s="185" t="s">
        <v>214</v>
      </c>
      <c r="T36" s="186">
        <v>9.3699999999999992</v>
      </c>
      <c r="U36" s="1"/>
      <c r="V36" s="1"/>
      <c r="W36" s="1"/>
      <c r="X36" s="1"/>
      <c r="Y36" s="1"/>
      <c r="Z36" s="1"/>
      <c r="AA36" s="1"/>
      <c r="AB36" s="1"/>
      <c r="AC36" s="1"/>
      <c r="AD36" s="1"/>
      <c r="AE36" s="489" t="s">
        <v>118</v>
      </c>
      <c r="AF36" s="490"/>
      <c r="AG36" s="491"/>
      <c r="AH36" s="484" t="s">
        <v>119</v>
      </c>
      <c r="AI36" s="485"/>
      <c r="AJ36" s="70" t="s">
        <v>114</v>
      </c>
      <c r="AK36" s="185" t="s">
        <v>214</v>
      </c>
      <c r="AL36" s="186">
        <v>9.3699999999999992</v>
      </c>
      <c r="AM36" s="1"/>
      <c r="AN36" s="1"/>
      <c r="AO36" s="1"/>
      <c r="AP36" s="1"/>
      <c r="AQ36" s="1"/>
      <c r="AR36" s="1"/>
      <c r="AS36" s="1"/>
      <c r="AT36" s="1"/>
    </row>
    <row r="37" spans="1:46" ht="15.75" thickBot="1" x14ac:dyDescent="0.3">
      <c r="A37" s="1"/>
      <c r="B37" s="1"/>
      <c r="C37" s="1"/>
      <c r="D37" s="1"/>
      <c r="E37" s="1"/>
      <c r="F37" s="1"/>
      <c r="G37" s="1"/>
      <c r="H37" s="1"/>
      <c r="I37" s="1"/>
      <c r="J37" s="1"/>
      <c r="K37" s="1"/>
      <c r="L37" s="1"/>
      <c r="M37" s="486" t="s">
        <v>220</v>
      </c>
      <c r="N37" s="488"/>
      <c r="O37" s="1"/>
      <c r="P37" s="88" t="s">
        <v>121</v>
      </c>
      <c r="Q37" s="72">
        <v>3.2</v>
      </c>
      <c r="R37" s="72" t="s">
        <v>104</v>
      </c>
      <c r="S37" s="67" t="s">
        <v>105</v>
      </c>
      <c r="T37" s="1"/>
      <c r="U37" s="1"/>
      <c r="V37" s="1"/>
      <c r="W37" s="1"/>
      <c r="X37" s="1"/>
      <c r="Y37" s="1"/>
      <c r="Z37" s="1"/>
      <c r="AA37" s="1"/>
      <c r="AB37" s="1"/>
      <c r="AC37" s="1"/>
      <c r="AD37" s="1"/>
      <c r="AE37" s="486" t="s">
        <v>218</v>
      </c>
      <c r="AF37" s="487"/>
      <c r="AG37" s="488"/>
      <c r="AH37" s="88" t="s">
        <v>103</v>
      </c>
      <c r="AI37" s="72">
        <v>5.7</v>
      </c>
      <c r="AJ37" s="72" t="s">
        <v>104</v>
      </c>
      <c r="AK37" s="67" t="s">
        <v>105</v>
      </c>
      <c r="AL37" s="1"/>
      <c r="AM37" s="1"/>
      <c r="AN37" s="1"/>
      <c r="AO37" s="1"/>
      <c r="AP37" s="1"/>
      <c r="AQ37" s="1"/>
      <c r="AR37" s="1"/>
      <c r="AS37" s="1"/>
      <c r="AT37" s="1"/>
    </row>
    <row r="38" spans="1:46" x14ac:dyDescent="0.25">
      <c r="A38" s="1"/>
      <c r="B38" s="1"/>
      <c r="C38" s="1"/>
      <c r="D38" s="1"/>
      <c r="E38" s="1"/>
      <c r="F38" s="1"/>
      <c r="G38" s="1"/>
      <c r="H38" s="1"/>
      <c r="I38" s="1"/>
      <c r="J38" s="1"/>
      <c r="K38" s="1"/>
      <c r="L38" s="1"/>
      <c r="M38" s="1">
        <v>2.6</v>
      </c>
      <c r="N38" s="1"/>
      <c r="O38" s="1"/>
      <c r="P38" s="1"/>
      <c r="Q38" s="1"/>
      <c r="R38" s="1"/>
      <c r="S38" s="1"/>
      <c r="T38" s="1"/>
      <c r="U38" s="1"/>
      <c r="V38" s="1"/>
      <c r="W38" s="1"/>
      <c r="X38" s="1"/>
      <c r="Y38" s="1"/>
      <c r="Z38" s="1"/>
      <c r="AA38" s="1"/>
      <c r="AB38" s="1"/>
      <c r="AC38" s="1"/>
      <c r="AD38" s="1"/>
      <c r="AE38" s="1">
        <v>4.6550000000000002</v>
      </c>
      <c r="AF38" s="1"/>
      <c r="AG38" s="1"/>
      <c r="AH38" s="1"/>
      <c r="AI38" s="1"/>
      <c r="AJ38" s="1"/>
      <c r="AK38" s="1"/>
      <c r="AL38" s="1"/>
      <c r="AM38" s="1"/>
      <c r="AN38" s="1"/>
      <c r="AO38" s="1"/>
      <c r="AP38" s="1"/>
      <c r="AQ38" s="1"/>
      <c r="AR38" s="1"/>
      <c r="AS38" s="1"/>
      <c r="AT38" s="1"/>
    </row>
    <row r="39" spans="1:46" ht="15.75" thickBot="1" x14ac:dyDescent="0.3">
      <c r="A39" s="1"/>
      <c r="B39" s="1"/>
      <c r="C39" s="1"/>
      <c r="D39" s="1"/>
      <c r="E39" s="1"/>
      <c r="F39" s="1"/>
      <c r="G39" s="1"/>
      <c r="H39" s="1"/>
      <c r="I39" s="1"/>
      <c r="J39" s="1"/>
      <c r="K39" s="1"/>
      <c r="L39" s="1"/>
      <c r="M39" s="85" t="s">
        <v>99</v>
      </c>
      <c r="N39" s="85" t="s">
        <v>100</v>
      </c>
      <c r="O39" s="85" t="s">
        <v>102</v>
      </c>
      <c r="P39" s="85" t="s">
        <v>8</v>
      </c>
      <c r="Q39" s="184" t="s">
        <v>101</v>
      </c>
      <c r="R39" s="85" t="s">
        <v>115</v>
      </c>
      <c r="S39" s="85" t="s">
        <v>116</v>
      </c>
      <c r="T39" s="184" t="s">
        <v>213</v>
      </c>
      <c r="U39" s="1"/>
      <c r="V39" s="1"/>
      <c r="W39" s="1"/>
      <c r="X39" s="1"/>
      <c r="Y39" s="1"/>
      <c r="Z39" s="1"/>
      <c r="AA39" s="1"/>
      <c r="AB39" s="1"/>
      <c r="AC39" s="1"/>
      <c r="AD39" s="1"/>
      <c r="AE39" s="85" t="s">
        <v>99</v>
      </c>
      <c r="AF39" s="85" t="s">
        <v>100</v>
      </c>
      <c r="AG39" s="85" t="s">
        <v>102</v>
      </c>
      <c r="AH39" s="85" t="s">
        <v>8</v>
      </c>
      <c r="AI39" s="85" t="s">
        <v>101</v>
      </c>
      <c r="AJ39" s="85" t="s">
        <v>115</v>
      </c>
      <c r="AK39" s="85" t="s">
        <v>116</v>
      </c>
      <c r="AL39" s="184" t="s">
        <v>213</v>
      </c>
      <c r="AM39" s="1"/>
      <c r="AN39" s="1"/>
      <c r="AO39" s="1"/>
      <c r="AP39" s="1"/>
      <c r="AQ39" s="1"/>
      <c r="AR39" s="1"/>
      <c r="AS39" s="1"/>
      <c r="AT39" s="1"/>
    </row>
    <row r="40" spans="1:46" x14ac:dyDescent="0.25">
      <c r="A40" s="1"/>
      <c r="B40" s="1"/>
      <c r="C40" s="1"/>
      <c r="D40" s="1"/>
      <c r="E40" s="1"/>
      <c r="F40" s="1"/>
      <c r="G40" s="1"/>
      <c r="H40" s="1"/>
      <c r="I40" s="1"/>
      <c r="J40" s="1"/>
      <c r="K40" s="1"/>
      <c r="L40" s="1"/>
      <c r="M40" s="81">
        <v>0</v>
      </c>
      <c r="N40" s="73">
        <v>0</v>
      </c>
      <c r="O40" s="77">
        <v>0.1</v>
      </c>
      <c r="P40" s="179">
        <f>O40*2.5*$M$3</f>
        <v>0.65</v>
      </c>
      <c r="Q40" s="60">
        <f>$Q$37</f>
        <v>3.2</v>
      </c>
      <c r="R40" s="182">
        <f>Q40-P40</f>
        <v>2.5500000000000003</v>
      </c>
      <c r="S40" s="187">
        <f>R40</f>
        <v>2.5500000000000003</v>
      </c>
      <c r="T40" s="189">
        <f>S40+3*$T$36</f>
        <v>30.66</v>
      </c>
      <c r="U40" s="1"/>
      <c r="V40" s="1"/>
      <c r="W40" s="1"/>
      <c r="X40" s="1"/>
      <c r="Y40" s="1"/>
      <c r="Z40" s="1"/>
      <c r="AA40" s="1"/>
      <c r="AB40" s="1"/>
      <c r="AC40" s="1"/>
      <c r="AD40" s="1"/>
      <c r="AE40" s="81">
        <v>0</v>
      </c>
      <c r="AF40" s="73">
        <v>0</v>
      </c>
      <c r="AG40" s="77">
        <v>0.1</v>
      </c>
      <c r="AH40" s="98">
        <f>AG40*2.5*$AE$38</f>
        <v>1.1637500000000001</v>
      </c>
      <c r="AI40" s="60">
        <f>$AI$37</f>
        <v>5.7</v>
      </c>
      <c r="AJ40" s="92">
        <f>AI40-AH40</f>
        <v>4.5362499999999999</v>
      </c>
      <c r="AK40" s="90">
        <f>AJ40</f>
        <v>4.5362499999999999</v>
      </c>
      <c r="AL40" s="189">
        <f>AK40+3*$T$36</f>
        <v>32.646250000000002</v>
      </c>
      <c r="AM40" s="1"/>
      <c r="AN40" s="1"/>
      <c r="AO40" s="1"/>
      <c r="AP40" s="1"/>
      <c r="AQ40" s="1"/>
      <c r="AR40" s="1"/>
      <c r="AS40" s="1"/>
      <c r="AT40" s="1"/>
    </row>
    <row r="41" spans="1:46" x14ac:dyDescent="0.25">
      <c r="A41" s="1"/>
      <c r="B41" s="1"/>
      <c r="C41" s="1"/>
      <c r="D41" s="1"/>
      <c r="E41" s="1"/>
      <c r="F41" s="1"/>
      <c r="G41" s="1"/>
      <c r="H41" s="1"/>
      <c r="I41" s="1"/>
      <c r="J41" s="1"/>
      <c r="K41" s="1"/>
      <c r="L41" s="1"/>
      <c r="M41" s="82">
        <v>1</v>
      </c>
      <c r="N41" s="74">
        <v>4.1666666666666699E-2</v>
      </c>
      <c r="O41" s="78">
        <v>0.2</v>
      </c>
      <c r="P41" s="180">
        <f t="shared" ref="P41:P63" si="13">O41*2.5*$M$3</f>
        <v>1.3</v>
      </c>
      <c r="Q41" s="61">
        <f t="shared" ref="Q41:Q63" si="14">$Q$37</f>
        <v>3.2</v>
      </c>
      <c r="R41" s="183">
        <f>Q41-P41</f>
        <v>1.9000000000000001</v>
      </c>
      <c r="S41" s="188">
        <f>SUM($R$40:R41)</f>
        <v>4.45</v>
      </c>
      <c r="T41" s="190">
        <f t="shared" ref="T41:T63" si="15">S41+3*$T$36</f>
        <v>32.56</v>
      </c>
      <c r="U41" s="1"/>
      <c r="V41" s="1"/>
      <c r="W41" s="1"/>
      <c r="X41" s="1"/>
      <c r="Y41" s="1"/>
      <c r="Z41" s="1"/>
      <c r="AA41" s="1"/>
      <c r="AB41" s="1"/>
      <c r="AC41" s="1"/>
      <c r="AD41" s="1"/>
      <c r="AE41" s="82">
        <v>1</v>
      </c>
      <c r="AF41" s="74">
        <v>4.1666666666666699E-2</v>
      </c>
      <c r="AG41" s="78">
        <v>0.2</v>
      </c>
      <c r="AH41" s="99">
        <f t="shared" ref="AH41:AH63" si="16">AG41*2.5*$AE$38</f>
        <v>2.3275000000000001</v>
      </c>
      <c r="AI41" s="61">
        <f t="shared" ref="AI41:AI63" si="17">$AI$37</f>
        <v>5.7</v>
      </c>
      <c r="AJ41" s="93">
        <f t="shared" ref="AJ41:AJ63" si="18">AI41-AH41</f>
        <v>3.3725000000000001</v>
      </c>
      <c r="AK41" s="91">
        <f>SUM($AJ$40:AJ41)</f>
        <v>7.9087499999999995</v>
      </c>
      <c r="AL41" s="190">
        <f>AK41+3*$T$36</f>
        <v>36.018749999999997</v>
      </c>
      <c r="AM41" s="1"/>
      <c r="AN41" s="1"/>
      <c r="AO41" s="1"/>
      <c r="AP41" s="1"/>
      <c r="AQ41" s="1"/>
      <c r="AR41" s="1"/>
      <c r="AS41" s="1"/>
      <c r="AT41" s="1"/>
    </row>
    <row r="42" spans="1:46" x14ac:dyDescent="0.25">
      <c r="A42" s="1"/>
      <c r="B42" s="1"/>
      <c r="C42" s="1"/>
      <c r="D42" s="1"/>
      <c r="E42" s="1"/>
      <c r="F42" s="1"/>
      <c r="G42" s="1"/>
      <c r="H42" s="1"/>
      <c r="I42" s="1"/>
      <c r="J42" s="1"/>
      <c r="K42" s="1"/>
      <c r="L42" s="1"/>
      <c r="M42" s="82">
        <v>2</v>
      </c>
      <c r="N42" s="74">
        <v>8.3333333333333301E-2</v>
      </c>
      <c r="O42" s="78">
        <v>0.15</v>
      </c>
      <c r="P42" s="180">
        <f t="shared" si="13"/>
        <v>0.97500000000000009</v>
      </c>
      <c r="Q42" s="61">
        <f t="shared" si="14"/>
        <v>3.2</v>
      </c>
      <c r="R42" s="183">
        <f t="shared" ref="R42:R63" si="19">Q42-P42</f>
        <v>2.2250000000000001</v>
      </c>
      <c r="S42" s="188">
        <f>SUM($R$40:R42)</f>
        <v>6.6750000000000007</v>
      </c>
      <c r="T42" s="190">
        <f t="shared" si="15"/>
        <v>34.784999999999997</v>
      </c>
      <c r="U42" s="1"/>
      <c r="V42" s="1"/>
      <c r="W42" s="1"/>
      <c r="X42" s="1"/>
      <c r="Y42" s="1"/>
      <c r="Z42" s="1"/>
      <c r="AA42" s="1"/>
      <c r="AB42" s="1"/>
      <c r="AC42" s="1"/>
      <c r="AD42" s="1"/>
      <c r="AE42" s="82">
        <v>2</v>
      </c>
      <c r="AF42" s="74">
        <v>8.3333333333333301E-2</v>
      </c>
      <c r="AG42" s="78">
        <v>0.15</v>
      </c>
      <c r="AH42" s="99">
        <f t="shared" si="16"/>
        <v>1.745625</v>
      </c>
      <c r="AI42" s="61">
        <f t="shared" si="17"/>
        <v>5.7</v>
      </c>
      <c r="AJ42" s="93">
        <f t="shared" si="18"/>
        <v>3.9543750000000002</v>
      </c>
      <c r="AK42" s="91">
        <f>SUM($AJ$40:AJ42)</f>
        <v>11.863125</v>
      </c>
      <c r="AL42" s="190">
        <f t="shared" ref="AL42:AL63" si="20">AK42+3*$T$36</f>
        <v>39.973124999999996</v>
      </c>
      <c r="AM42" s="1"/>
      <c r="AN42" s="1"/>
      <c r="AO42" s="1"/>
      <c r="AP42" s="1"/>
      <c r="AQ42" s="1"/>
      <c r="AR42" s="1"/>
      <c r="AS42" s="1"/>
      <c r="AT42" s="1"/>
    </row>
    <row r="43" spans="1:46" x14ac:dyDescent="0.25">
      <c r="A43" s="1"/>
      <c r="B43" s="1"/>
      <c r="C43" s="1"/>
      <c r="D43" s="1"/>
      <c r="E43" s="1"/>
      <c r="F43" s="1"/>
      <c r="G43" s="1"/>
      <c r="H43" s="1"/>
      <c r="I43" s="1"/>
      <c r="J43" s="1"/>
      <c r="K43" s="1"/>
      <c r="L43" s="1"/>
      <c r="M43" s="82">
        <v>3</v>
      </c>
      <c r="N43" s="74">
        <v>0.125</v>
      </c>
      <c r="O43" s="78">
        <v>0.15</v>
      </c>
      <c r="P43" s="180">
        <f t="shared" si="13"/>
        <v>0.97500000000000009</v>
      </c>
      <c r="Q43" s="61">
        <f t="shared" si="14"/>
        <v>3.2</v>
      </c>
      <c r="R43" s="183">
        <f t="shared" si="19"/>
        <v>2.2250000000000001</v>
      </c>
      <c r="S43" s="188">
        <f>SUM($R$40:R43)</f>
        <v>8.9</v>
      </c>
      <c r="T43" s="190">
        <f t="shared" si="15"/>
        <v>37.01</v>
      </c>
      <c r="U43" s="1"/>
      <c r="V43" s="1"/>
      <c r="W43" s="1"/>
      <c r="X43" s="1"/>
      <c r="Y43" s="1"/>
      <c r="Z43" s="1"/>
      <c r="AA43" s="1"/>
      <c r="AB43" s="1"/>
      <c r="AC43" s="1"/>
      <c r="AD43" s="1"/>
      <c r="AE43" s="82">
        <v>3</v>
      </c>
      <c r="AF43" s="74">
        <v>0.125</v>
      </c>
      <c r="AG43" s="78">
        <v>0.15</v>
      </c>
      <c r="AH43" s="99">
        <f t="shared" si="16"/>
        <v>1.745625</v>
      </c>
      <c r="AI43" s="61">
        <f t="shared" si="17"/>
        <v>5.7</v>
      </c>
      <c r="AJ43" s="93">
        <f t="shared" si="18"/>
        <v>3.9543750000000002</v>
      </c>
      <c r="AK43" s="91">
        <f>SUM($AJ$40:AJ43)</f>
        <v>15.817500000000001</v>
      </c>
      <c r="AL43" s="190">
        <f t="shared" si="20"/>
        <v>43.927500000000002</v>
      </c>
      <c r="AM43" s="1"/>
      <c r="AN43" s="1"/>
      <c r="AO43" s="1"/>
      <c r="AP43" s="1"/>
      <c r="AQ43" s="1"/>
      <c r="AR43" s="1"/>
      <c r="AS43" s="1"/>
      <c r="AT43" s="1"/>
    </row>
    <row r="44" spans="1:46" x14ac:dyDescent="0.25">
      <c r="A44" s="1"/>
      <c r="B44" s="1"/>
      <c r="C44" s="1"/>
      <c r="D44" s="1"/>
      <c r="E44" s="1"/>
      <c r="F44" s="1"/>
      <c r="G44" s="1"/>
      <c r="H44" s="1"/>
      <c r="I44" s="1"/>
      <c r="J44" s="1"/>
      <c r="K44" s="1"/>
      <c r="L44" s="1"/>
      <c r="M44" s="82">
        <v>4</v>
      </c>
      <c r="N44" s="74">
        <v>0.16666666666666699</v>
      </c>
      <c r="O44" s="78">
        <v>0.15</v>
      </c>
      <c r="P44" s="180">
        <f t="shared" si="13"/>
        <v>0.97500000000000009</v>
      </c>
      <c r="Q44" s="61">
        <f t="shared" si="14"/>
        <v>3.2</v>
      </c>
      <c r="R44" s="183">
        <f t="shared" si="19"/>
        <v>2.2250000000000001</v>
      </c>
      <c r="S44" s="188">
        <f>SUM($R$40:R44)</f>
        <v>11.125</v>
      </c>
      <c r="T44" s="190">
        <f t="shared" si="15"/>
        <v>39.234999999999999</v>
      </c>
      <c r="U44" s="1"/>
      <c r="V44" s="1"/>
      <c r="W44" s="1"/>
      <c r="X44" s="1"/>
      <c r="Y44" s="1"/>
      <c r="Z44" s="1"/>
      <c r="AA44" s="1"/>
      <c r="AB44" s="1"/>
      <c r="AC44" s="1"/>
      <c r="AD44" s="1"/>
      <c r="AE44" s="82">
        <v>4</v>
      </c>
      <c r="AF44" s="74">
        <v>0.16666666666666699</v>
      </c>
      <c r="AG44" s="78">
        <v>0.15</v>
      </c>
      <c r="AH44" s="99">
        <f t="shared" si="16"/>
        <v>1.745625</v>
      </c>
      <c r="AI44" s="61">
        <f t="shared" si="17"/>
        <v>5.7</v>
      </c>
      <c r="AJ44" s="93">
        <f t="shared" si="18"/>
        <v>3.9543750000000002</v>
      </c>
      <c r="AK44" s="91">
        <f>SUM($AJ$40:AJ44)</f>
        <v>19.771875000000001</v>
      </c>
      <c r="AL44" s="190">
        <f t="shared" si="20"/>
        <v>47.881875000000001</v>
      </c>
      <c r="AM44" s="1"/>
      <c r="AN44" s="1"/>
      <c r="AO44" s="1"/>
      <c r="AP44" s="1"/>
      <c r="AQ44" s="1"/>
      <c r="AR44" s="1"/>
      <c r="AS44" s="1"/>
      <c r="AT44" s="1"/>
    </row>
    <row r="45" spans="1:46" x14ac:dyDescent="0.25">
      <c r="A45" s="1"/>
      <c r="B45" s="1"/>
      <c r="C45" s="1"/>
      <c r="D45" s="1"/>
      <c r="E45" s="1"/>
      <c r="F45" s="1"/>
      <c r="G45" s="1"/>
      <c r="H45" s="1"/>
      <c r="I45" s="1"/>
      <c r="J45" s="1"/>
      <c r="K45" s="1"/>
      <c r="L45" s="1"/>
      <c r="M45" s="82">
        <v>5</v>
      </c>
      <c r="N45" s="74">
        <v>0.20833333333333301</v>
      </c>
      <c r="O45" s="78">
        <v>0.17499999999999999</v>
      </c>
      <c r="P45" s="180">
        <f t="shared" si="13"/>
        <v>1.1375</v>
      </c>
      <c r="Q45" s="61">
        <f t="shared" si="14"/>
        <v>3.2</v>
      </c>
      <c r="R45" s="183">
        <f t="shared" si="19"/>
        <v>2.0625</v>
      </c>
      <c r="S45" s="188">
        <f>SUM($R$40:R45)</f>
        <v>13.1875</v>
      </c>
      <c r="T45" s="190">
        <f t="shared" si="15"/>
        <v>41.297499999999999</v>
      </c>
      <c r="U45" s="1"/>
      <c r="V45" s="1"/>
      <c r="W45" s="1"/>
      <c r="X45" s="1"/>
      <c r="Y45" s="1"/>
      <c r="Z45" s="1"/>
      <c r="AA45" s="1"/>
      <c r="AB45" s="1"/>
      <c r="AC45" s="1"/>
      <c r="AD45" s="1"/>
      <c r="AE45" s="82">
        <v>5</v>
      </c>
      <c r="AF45" s="74">
        <v>0.20833333333333301</v>
      </c>
      <c r="AG45" s="78">
        <v>0.17499999999999999</v>
      </c>
      <c r="AH45" s="99">
        <f t="shared" si="16"/>
        <v>2.0365625000000001</v>
      </c>
      <c r="AI45" s="61">
        <f t="shared" si="17"/>
        <v>5.7</v>
      </c>
      <c r="AJ45" s="93">
        <f t="shared" si="18"/>
        <v>3.6634375000000001</v>
      </c>
      <c r="AK45" s="91">
        <f>SUM($AJ$40:AJ45)</f>
        <v>23.435312500000002</v>
      </c>
      <c r="AL45" s="190">
        <f t="shared" si="20"/>
        <v>51.545312500000001</v>
      </c>
      <c r="AM45" s="1"/>
      <c r="AN45" s="1"/>
      <c r="AO45" s="1"/>
      <c r="AP45" s="1"/>
      <c r="AQ45" s="1"/>
      <c r="AR45" s="1"/>
      <c r="AS45" s="1"/>
      <c r="AT45" s="1"/>
    </row>
    <row r="46" spans="1:46" x14ac:dyDescent="0.25">
      <c r="A46" s="1"/>
      <c r="B46" s="1"/>
      <c r="C46" s="1"/>
      <c r="D46" s="1"/>
      <c r="E46" s="1"/>
      <c r="F46" s="1"/>
      <c r="G46" s="1"/>
      <c r="H46" s="1"/>
      <c r="I46" s="1"/>
      <c r="J46" s="1"/>
      <c r="K46" s="1"/>
      <c r="L46" s="1"/>
      <c r="M46" s="82">
        <v>6</v>
      </c>
      <c r="N46" s="74">
        <v>0.25</v>
      </c>
      <c r="O46" s="78">
        <v>0.2</v>
      </c>
      <c r="P46" s="180">
        <f t="shared" si="13"/>
        <v>1.3</v>
      </c>
      <c r="Q46" s="61">
        <f t="shared" si="14"/>
        <v>3.2</v>
      </c>
      <c r="R46" s="183">
        <f t="shared" si="19"/>
        <v>1.9000000000000001</v>
      </c>
      <c r="S46" s="188">
        <f>SUM($R$40:R46)</f>
        <v>15.0875</v>
      </c>
      <c r="T46" s="190">
        <f t="shared" si="15"/>
        <v>43.197499999999998</v>
      </c>
      <c r="U46" s="1"/>
      <c r="V46" s="1"/>
      <c r="W46" s="1"/>
      <c r="X46" s="1"/>
      <c r="Y46" s="1"/>
      <c r="Z46" s="1"/>
      <c r="AA46" s="1"/>
      <c r="AB46" s="1"/>
      <c r="AC46" s="1"/>
      <c r="AD46" s="1"/>
      <c r="AE46" s="82">
        <v>6</v>
      </c>
      <c r="AF46" s="74">
        <v>0.25</v>
      </c>
      <c r="AG46" s="78">
        <v>0.2</v>
      </c>
      <c r="AH46" s="99">
        <f t="shared" si="16"/>
        <v>2.3275000000000001</v>
      </c>
      <c r="AI46" s="61">
        <f t="shared" si="17"/>
        <v>5.7</v>
      </c>
      <c r="AJ46" s="93">
        <f t="shared" si="18"/>
        <v>3.3725000000000001</v>
      </c>
      <c r="AK46" s="91">
        <f>SUM($AJ$40:AJ46)</f>
        <v>26.807812500000001</v>
      </c>
      <c r="AL46" s="190">
        <f t="shared" si="20"/>
        <v>54.917812499999997</v>
      </c>
      <c r="AM46" s="1"/>
      <c r="AN46" s="1"/>
      <c r="AO46" s="1"/>
      <c r="AP46" s="1"/>
      <c r="AQ46" s="1"/>
      <c r="AR46" s="1"/>
      <c r="AS46" s="1"/>
      <c r="AT46" s="1"/>
    </row>
    <row r="47" spans="1:46" x14ac:dyDescent="0.25">
      <c r="A47" s="1"/>
      <c r="B47" s="1"/>
      <c r="C47" s="1"/>
      <c r="D47" s="1"/>
      <c r="E47" s="1"/>
      <c r="F47" s="1"/>
      <c r="G47" s="1"/>
      <c r="H47" s="1"/>
      <c r="I47" s="1"/>
      <c r="J47" s="1"/>
      <c r="K47" s="1"/>
      <c r="L47" s="1"/>
      <c r="M47" s="82">
        <v>7</v>
      </c>
      <c r="N47" s="74">
        <v>0.29166666666666702</v>
      </c>
      <c r="O47" s="78">
        <v>0.4</v>
      </c>
      <c r="P47" s="180">
        <f t="shared" si="13"/>
        <v>2.6</v>
      </c>
      <c r="Q47" s="61">
        <f t="shared" si="14"/>
        <v>3.2</v>
      </c>
      <c r="R47" s="183">
        <f t="shared" si="19"/>
        <v>0.60000000000000009</v>
      </c>
      <c r="S47" s="188">
        <f>SUM($R$40:R47)</f>
        <v>15.6875</v>
      </c>
      <c r="T47" s="190">
        <f t="shared" si="15"/>
        <v>43.797499999999999</v>
      </c>
      <c r="U47" s="1"/>
      <c r="V47" s="1"/>
      <c r="W47" s="1"/>
      <c r="X47" s="1"/>
      <c r="Y47" s="1"/>
      <c r="Z47" s="1"/>
      <c r="AA47" s="1"/>
      <c r="AB47" s="1"/>
      <c r="AC47" s="1"/>
      <c r="AD47" s="1"/>
      <c r="AE47" s="82">
        <v>7</v>
      </c>
      <c r="AF47" s="74">
        <v>0.29166666666666702</v>
      </c>
      <c r="AG47" s="78">
        <v>0.4</v>
      </c>
      <c r="AH47" s="99">
        <f t="shared" si="16"/>
        <v>4.6550000000000002</v>
      </c>
      <c r="AI47" s="61">
        <f t="shared" si="17"/>
        <v>5.7</v>
      </c>
      <c r="AJ47" s="93">
        <f t="shared" si="18"/>
        <v>1.0449999999999999</v>
      </c>
      <c r="AK47" s="91">
        <f>SUM($AJ$40:AJ47)</f>
        <v>27.852812499999999</v>
      </c>
      <c r="AL47" s="190">
        <f t="shared" si="20"/>
        <v>55.962812499999998</v>
      </c>
      <c r="AM47" s="1"/>
      <c r="AN47" s="1"/>
      <c r="AO47" s="1"/>
      <c r="AP47" s="1"/>
      <c r="AQ47" s="1"/>
      <c r="AR47" s="1"/>
      <c r="AS47" s="1"/>
      <c r="AT47" s="1"/>
    </row>
    <row r="48" spans="1:46" x14ac:dyDescent="0.25">
      <c r="A48" s="1"/>
      <c r="B48" s="1"/>
      <c r="C48" s="1"/>
      <c r="D48" s="1"/>
      <c r="E48" s="1"/>
      <c r="F48" s="1"/>
      <c r="G48" s="1"/>
      <c r="H48" s="1"/>
      <c r="I48" s="1"/>
      <c r="J48" s="1"/>
      <c r="K48" s="1"/>
      <c r="L48" s="1"/>
      <c r="M48" s="82">
        <v>8</v>
      </c>
      <c r="N48" s="74">
        <v>0.33333333333333298</v>
      </c>
      <c r="O48" s="78">
        <v>0.6</v>
      </c>
      <c r="P48" s="180">
        <f t="shared" si="13"/>
        <v>3.9000000000000004</v>
      </c>
      <c r="Q48" s="61">
        <f t="shared" si="14"/>
        <v>3.2</v>
      </c>
      <c r="R48" s="183">
        <f t="shared" si="19"/>
        <v>-0.70000000000000018</v>
      </c>
      <c r="S48" s="188">
        <f>SUM($R$40:R48)</f>
        <v>14.987500000000001</v>
      </c>
      <c r="T48" s="190">
        <f t="shared" si="15"/>
        <v>43.097499999999997</v>
      </c>
      <c r="U48" s="1"/>
      <c r="V48" s="1"/>
      <c r="W48" s="1"/>
      <c r="X48" s="1"/>
      <c r="Y48" s="1"/>
      <c r="Z48" s="1"/>
      <c r="AA48" s="1"/>
      <c r="AB48" s="1"/>
      <c r="AC48" s="1"/>
      <c r="AD48" s="1"/>
      <c r="AE48" s="82">
        <v>8</v>
      </c>
      <c r="AF48" s="74">
        <v>0.33333333333333298</v>
      </c>
      <c r="AG48" s="78">
        <v>0.6</v>
      </c>
      <c r="AH48" s="99">
        <f t="shared" si="16"/>
        <v>6.9824999999999999</v>
      </c>
      <c r="AI48" s="61">
        <f t="shared" si="17"/>
        <v>5.7</v>
      </c>
      <c r="AJ48" s="93">
        <f t="shared" si="18"/>
        <v>-1.2824999999999998</v>
      </c>
      <c r="AK48" s="91">
        <f>SUM($AJ$40:AJ48)</f>
        <v>26.5703125</v>
      </c>
      <c r="AL48" s="190">
        <f t="shared" si="20"/>
        <v>54.680312499999999</v>
      </c>
      <c r="AM48" s="1"/>
      <c r="AN48" s="1"/>
      <c r="AO48" s="1"/>
      <c r="AP48" s="1"/>
      <c r="AQ48" s="1"/>
      <c r="AR48" s="1"/>
      <c r="AS48" s="1"/>
      <c r="AT48" s="1"/>
    </row>
    <row r="49" spans="1:46" x14ac:dyDescent="0.25">
      <c r="A49" s="1"/>
      <c r="B49" s="1"/>
      <c r="C49" s="1"/>
      <c r="D49" s="1"/>
      <c r="E49" s="1"/>
      <c r="F49" s="1"/>
      <c r="G49" s="1"/>
      <c r="H49" s="1"/>
      <c r="I49" s="1"/>
      <c r="J49" s="1"/>
      <c r="K49" s="1"/>
      <c r="L49" s="1"/>
      <c r="M49" s="82">
        <v>9</v>
      </c>
      <c r="N49" s="74">
        <v>0.375</v>
      </c>
      <c r="O49" s="78">
        <v>0.6</v>
      </c>
      <c r="P49" s="180">
        <f t="shared" si="13"/>
        <v>3.9000000000000004</v>
      </c>
      <c r="Q49" s="61">
        <f t="shared" si="14"/>
        <v>3.2</v>
      </c>
      <c r="R49" s="183">
        <f t="shared" si="19"/>
        <v>-0.70000000000000018</v>
      </c>
      <c r="S49" s="188">
        <f>SUM($R$40:R49)</f>
        <v>14.287500000000001</v>
      </c>
      <c r="T49" s="190">
        <f t="shared" si="15"/>
        <v>42.397500000000001</v>
      </c>
      <c r="U49" s="1"/>
      <c r="V49" s="1"/>
      <c r="W49" s="1"/>
      <c r="X49" s="1"/>
      <c r="Y49" s="1"/>
      <c r="Z49" s="1"/>
      <c r="AA49" s="1"/>
      <c r="AB49" s="1"/>
      <c r="AC49" s="1"/>
      <c r="AD49" s="1"/>
      <c r="AE49" s="82">
        <v>9</v>
      </c>
      <c r="AF49" s="74">
        <v>0.375</v>
      </c>
      <c r="AG49" s="78">
        <v>0.6</v>
      </c>
      <c r="AH49" s="99">
        <f t="shared" si="16"/>
        <v>6.9824999999999999</v>
      </c>
      <c r="AI49" s="61">
        <f t="shared" si="17"/>
        <v>5.7</v>
      </c>
      <c r="AJ49" s="93">
        <f t="shared" si="18"/>
        <v>-1.2824999999999998</v>
      </c>
      <c r="AK49" s="91">
        <f>SUM($AJ$40:AJ49)</f>
        <v>25.287812500000001</v>
      </c>
      <c r="AL49" s="190">
        <f t="shared" si="20"/>
        <v>53.397812500000001</v>
      </c>
      <c r="AM49" s="1"/>
      <c r="AN49" s="1"/>
      <c r="AO49" s="1"/>
      <c r="AP49" s="1"/>
      <c r="AQ49" s="1"/>
      <c r="AR49" s="1"/>
      <c r="AS49" s="1"/>
      <c r="AT49" s="1"/>
    </row>
    <row r="50" spans="1:46" x14ac:dyDescent="0.25">
      <c r="A50" s="1"/>
      <c r="B50" s="1"/>
      <c r="C50" s="1"/>
      <c r="D50" s="1"/>
      <c r="E50" s="1"/>
      <c r="F50" s="1"/>
      <c r="G50" s="1"/>
      <c r="H50" s="1"/>
      <c r="I50" s="1"/>
      <c r="J50" s="1"/>
      <c r="K50" s="1"/>
      <c r="L50" s="1"/>
      <c r="M50" s="82">
        <v>10</v>
      </c>
      <c r="N50" s="74">
        <v>0.41666666666666702</v>
      </c>
      <c r="O50" s="78">
        <v>0.55000000000000004</v>
      </c>
      <c r="P50" s="180">
        <f t="shared" si="13"/>
        <v>3.5750000000000002</v>
      </c>
      <c r="Q50" s="61">
        <f t="shared" si="14"/>
        <v>3.2</v>
      </c>
      <c r="R50" s="183">
        <f t="shared" si="19"/>
        <v>-0.375</v>
      </c>
      <c r="S50" s="188">
        <f>SUM($R$40:R50)</f>
        <v>13.912500000000001</v>
      </c>
      <c r="T50" s="190">
        <f t="shared" si="15"/>
        <v>42.022500000000001</v>
      </c>
      <c r="U50" s="1"/>
      <c r="V50" s="1"/>
      <c r="W50" s="1"/>
      <c r="X50" s="1"/>
      <c r="Y50" s="1"/>
      <c r="Z50" s="1"/>
      <c r="AA50" s="1"/>
      <c r="AB50" s="1"/>
      <c r="AC50" s="1"/>
      <c r="AD50" s="1"/>
      <c r="AE50" s="82">
        <v>10</v>
      </c>
      <c r="AF50" s="74">
        <v>0.41666666666666702</v>
      </c>
      <c r="AG50" s="78">
        <v>0.55000000000000004</v>
      </c>
      <c r="AH50" s="99">
        <f t="shared" si="16"/>
        <v>6.4006250000000007</v>
      </c>
      <c r="AI50" s="61">
        <f t="shared" si="17"/>
        <v>5.7</v>
      </c>
      <c r="AJ50" s="93">
        <f t="shared" si="18"/>
        <v>-0.7006250000000005</v>
      </c>
      <c r="AK50" s="91">
        <f>SUM($AJ$40:AJ50)</f>
        <v>24.587187499999999</v>
      </c>
      <c r="AL50" s="190">
        <f t="shared" si="20"/>
        <v>52.697187499999998</v>
      </c>
      <c r="AM50" s="1"/>
      <c r="AN50" s="1"/>
      <c r="AO50" s="1"/>
      <c r="AP50" s="1"/>
      <c r="AQ50" s="1"/>
      <c r="AR50" s="1"/>
      <c r="AS50" s="1"/>
      <c r="AT50" s="1"/>
    </row>
    <row r="51" spans="1:46" x14ac:dyDescent="0.25">
      <c r="A51" s="1"/>
      <c r="B51" s="1"/>
      <c r="C51" s="1"/>
      <c r="D51" s="1"/>
      <c r="E51" s="1"/>
      <c r="F51" s="1"/>
      <c r="G51" s="1"/>
      <c r="H51" s="1"/>
      <c r="I51" s="1"/>
      <c r="J51" s="1"/>
      <c r="K51" s="1"/>
      <c r="L51" s="1"/>
      <c r="M51" s="82">
        <v>11</v>
      </c>
      <c r="N51" s="74">
        <v>0.45833333333333298</v>
      </c>
      <c r="O51" s="78">
        <v>0.5</v>
      </c>
      <c r="P51" s="180">
        <f t="shared" si="13"/>
        <v>3.25</v>
      </c>
      <c r="Q51" s="61">
        <f t="shared" si="14"/>
        <v>3.2</v>
      </c>
      <c r="R51" s="183">
        <f t="shared" si="19"/>
        <v>-4.9999999999999822E-2</v>
      </c>
      <c r="S51" s="188">
        <f>SUM($R$40:R51)</f>
        <v>13.862500000000001</v>
      </c>
      <c r="T51" s="190">
        <f t="shared" si="15"/>
        <v>41.972499999999997</v>
      </c>
      <c r="U51" s="1"/>
      <c r="V51" s="1"/>
      <c r="W51" s="1"/>
      <c r="X51" s="1"/>
      <c r="Y51" s="1"/>
      <c r="Z51" s="1"/>
      <c r="AA51" s="1"/>
      <c r="AB51" s="1"/>
      <c r="AC51" s="1"/>
      <c r="AD51" s="1"/>
      <c r="AE51" s="82">
        <v>11</v>
      </c>
      <c r="AF51" s="74">
        <v>0.45833333333333298</v>
      </c>
      <c r="AG51" s="78">
        <v>0.5</v>
      </c>
      <c r="AH51" s="99">
        <f t="shared" si="16"/>
        <v>5.8187500000000005</v>
      </c>
      <c r="AI51" s="61">
        <f t="shared" si="17"/>
        <v>5.7</v>
      </c>
      <c r="AJ51" s="93">
        <f t="shared" si="18"/>
        <v>-0.11875000000000036</v>
      </c>
      <c r="AK51" s="91">
        <f>SUM($AJ$40:AJ51)</f>
        <v>24.4684375</v>
      </c>
      <c r="AL51" s="190">
        <f t="shared" si="20"/>
        <v>52.5784375</v>
      </c>
      <c r="AM51" s="1"/>
      <c r="AN51" s="1"/>
      <c r="AO51" s="1"/>
      <c r="AP51" s="1"/>
      <c r="AQ51" s="1"/>
      <c r="AR51" s="1"/>
      <c r="AS51" s="1"/>
      <c r="AT51" s="1"/>
    </row>
    <row r="52" spans="1:46" x14ac:dyDescent="0.25">
      <c r="A52" s="1"/>
      <c r="B52" s="1"/>
      <c r="C52" s="1"/>
      <c r="D52" s="1"/>
      <c r="E52" s="1"/>
      <c r="F52" s="1"/>
      <c r="G52" s="1"/>
      <c r="H52" s="1"/>
      <c r="I52" s="1"/>
      <c r="J52" s="1"/>
      <c r="K52" s="1"/>
      <c r="L52" s="1"/>
      <c r="M52" s="82">
        <v>12</v>
      </c>
      <c r="N52" s="74">
        <v>0.5</v>
      </c>
      <c r="O52" s="78">
        <v>0.5</v>
      </c>
      <c r="P52" s="180">
        <f t="shared" si="13"/>
        <v>3.25</v>
      </c>
      <c r="Q52" s="61">
        <f t="shared" si="14"/>
        <v>3.2</v>
      </c>
      <c r="R52" s="183">
        <f t="shared" si="19"/>
        <v>-4.9999999999999822E-2</v>
      </c>
      <c r="S52" s="188">
        <f>SUM($R$40:R52)</f>
        <v>13.8125</v>
      </c>
      <c r="T52" s="190">
        <f t="shared" si="15"/>
        <v>41.922499999999999</v>
      </c>
      <c r="U52" s="1"/>
      <c r="V52" s="1"/>
      <c r="W52" s="1"/>
      <c r="X52" s="1"/>
      <c r="Y52" s="1"/>
      <c r="Z52" s="1"/>
      <c r="AA52" s="1"/>
      <c r="AB52" s="1"/>
      <c r="AC52" s="1"/>
      <c r="AD52" s="1"/>
      <c r="AE52" s="82">
        <v>12</v>
      </c>
      <c r="AF52" s="74">
        <v>0.5</v>
      </c>
      <c r="AG52" s="78">
        <v>0.5</v>
      </c>
      <c r="AH52" s="99">
        <f t="shared" si="16"/>
        <v>5.8187500000000005</v>
      </c>
      <c r="AI52" s="61">
        <f t="shared" si="17"/>
        <v>5.7</v>
      </c>
      <c r="AJ52" s="93">
        <f t="shared" si="18"/>
        <v>-0.11875000000000036</v>
      </c>
      <c r="AK52" s="91">
        <f>SUM($AJ$40:AJ52)</f>
        <v>24.349687500000002</v>
      </c>
      <c r="AL52" s="190">
        <f t="shared" si="20"/>
        <v>52.459687500000001</v>
      </c>
      <c r="AM52" s="1"/>
      <c r="AN52" s="1"/>
      <c r="AO52" s="1"/>
      <c r="AP52" s="1"/>
      <c r="AQ52" s="1"/>
      <c r="AR52" s="1"/>
      <c r="AS52" s="1"/>
      <c r="AT52" s="1"/>
    </row>
    <row r="53" spans="1:46" x14ac:dyDescent="0.25">
      <c r="A53" s="1"/>
      <c r="B53" s="1"/>
      <c r="C53" s="1"/>
      <c r="D53" s="1"/>
      <c r="E53" s="1"/>
      <c r="F53" s="1"/>
      <c r="G53" s="1"/>
      <c r="H53" s="1"/>
      <c r="I53" s="1"/>
      <c r="J53" s="1"/>
      <c r="K53" s="1"/>
      <c r="L53" s="1"/>
      <c r="M53" s="82">
        <v>13</v>
      </c>
      <c r="N53" s="74">
        <v>0.54166666666666696</v>
      </c>
      <c r="O53" s="78">
        <v>0.5</v>
      </c>
      <c r="P53" s="180">
        <f t="shared" si="13"/>
        <v>3.25</v>
      </c>
      <c r="Q53" s="61">
        <f t="shared" si="14"/>
        <v>3.2</v>
      </c>
      <c r="R53" s="183">
        <f t="shared" si="19"/>
        <v>-4.9999999999999822E-2</v>
      </c>
      <c r="S53" s="188">
        <f>SUM($R$40:R53)</f>
        <v>13.762499999999999</v>
      </c>
      <c r="T53" s="190">
        <f t="shared" si="15"/>
        <v>41.872500000000002</v>
      </c>
      <c r="U53" s="1"/>
      <c r="V53" s="1"/>
      <c r="W53" s="1"/>
      <c r="X53" s="1"/>
      <c r="Y53" s="1"/>
      <c r="Z53" s="1"/>
      <c r="AA53" s="1"/>
      <c r="AB53" s="1"/>
      <c r="AC53" s="1"/>
      <c r="AD53" s="1"/>
      <c r="AE53" s="82">
        <v>13</v>
      </c>
      <c r="AF53" s="74">
        <v>0.54166666666666696</v>
      </c>
      <c r="AG53" s="78">
        <v>0.5</v>
      </c>
      <c r="AH53" s="99">
        <f t="shared" si="16"/>
        <v>5.8187500000000005</v>
      </c>
      <c r="AI53" s="61">
        <f t="shared" si="17"/>
        <v>5.7</v>
      </c>
      <c r="AJ53" s="93">
        <f t="shared" si="18"/>
        <v>-0.11875000000000036</v>
      </c>
      <c r="AK53" s="91">
        <f>SUM($AJ$40:AJ53)</f>
        <v>24.230937500000003</v>
      </c>
      <c r="AL53" s="190">
        <f t="shared" si="20"/>
        <v>52.340937500000003</v>
      </c>
      <c r="AM53" s="1"/>
      <c r="AN53" s="1"/>
      <c r="AO53" s="1"/>
      <c r="AP53" s="1"/>
      <c r="AQ53" s="1"/>
      <c r="AR53" s="1"/>
      <c r="AS53" s="1"/>
      <c r="AT53" s="1"/>
    </row>
    <row r="54" spans="1:46" x14ac:dyDescent="0.25">
      <c r="A54" s="1"/>
      <c r="B54" s="1"/>
      <c r="C54" s="1"/>
      <c r="D54" s="1"/>
      <c r="E54" s="1"/>
      <c r="F54" s="1"/>
      <c r="G54" s="1"/>
      <c r="H54" s="1"/>
      <c r="I54" s="1"/>
      <c r="J54" s="1"/>
      <c r="K54" s="1"/>
      <c r="L54" s="1"/>
      <c r="M54" s="82">
        <v>14</v>
      </c>
      <c r="N54" s="74">
        <v>0.58333333333333304</v>
      </c>
      <c r="O54" s="78">
        <v>0.5</v>
      </c>
      <c r="P54" s="180">
        <f t="shared" si="13"/>
        <v>3.25</v>
      </c>
      <c r="Q54" s="61">
        <f t="shared" si="14"/>
        <v>3.2</v>
      </c>
      <c r="R54" s="183">
        <f t="shared" si="19"/>
        <v>-4.9999999999999822E-2</v>
      </c>
      <c r="S54" s="188">
        <f>SUM($R$40:R54)</f>
        <v>13.712499999999999</v>
      </c>
      <c r="T54" s="190">
        <f t="shared" si="15"/>
        <v>41.822499999999998</v>
      </c>
      <c r="U54" s="1"/>
      <c r="V54" s="1"/>
      <c r="W54" s="1"/>
      <c r="X54" s="1"/>
      <c r="Y54" s="1"/>
      <c r="Z54" s="1"/>
      <c r="AA54" s="1"/>
      <c r="AB54" s="1"/>
      <c r="AC54" s="1"/>
      <c r="AD54" s="1"/>
      <c r="AE54" s="82">
        <v>14</v>
      </c>
      <c r="AF54" s="74">
        <v>0.58333333333333304</v>
      </c>
      <c r="AG54" s="78">
        <v>0.5</v>
      </c>
      <c r="AH54" s="99">
        <f t="shared" si="16"/>
        <v>5.8187500000000005</v>
      </c>
      <c r="AI54" s="61">
        <f t="shared" si="17"/>
        <v>5.7</v>
      </c>
      <c r="AJ54" s="93">
        <f t="shared" si="18"/>
        <v>-0.11875000000000036</v>
      </c>
      <c r="AK54" s="91">
        <f>SUM($AJ$40:AJ54)</f>
        <v>24.112187500000005</v>
      </c>
      <c r="AL54" s="190">
        <f t="shared" si="20"/>
        <v>52.222187500000004</v>
      </c>
      <c r="AM54" s="1"/>
      <c r="AN54" s="1"/>
      <c r="AO54" s="1"/>
      <c r="AP54" s="1"/>
      <c r="AQ54" s="1"/>
      <c r="AR54" s="1"/>
      <c r="AS54" s="1"/>
      <c r="AT54" s="1"/>
    </row>
    <row r="55" spans="1:46" x14ac:dyDescent="0.25">
      <c r="A55" s="1"/>
      <c r="B55" s="1"/>
      <c r="C55" s="1"/>
      <c r="D55" s="1"/>
      <c r="E55" s="1"/>
      <c r="F55" s="1"/>
      <c r="G55" s="1"/>
      <c r="H55" s="1"/>
      <c r="I55" s="1"/>
      <c r="J55" s="1"/>
      <c r="K55" s="1"/>
      <c r="L55" s="1"/>
      <c r="M55" s="82">
        <v>15</v>
      </c>
      <c r="N55" s="74">
        <v>0.625</v>
      </c>
      <c r="O55" s="78">
        <v>0.5</v>
      </c>
      <c r="P55" s="180">
        <f t="shared" si="13"/>
        <v>3.25</v>
      </c>
      <c r="Q55" s="61">
        <f t="shared" si="14"/>
        <v>3.2</v>
      </c>
      <c r="R55" s="183">
        <f t="shared" si="19"/>
        <v>-4.9999999999999822E-2</v>
      </c>
      <c r="S55" s="188">
        <f>SUM($R$40:R55)</f>
        <v>13.662499999999998</v>
      </c>
      <c r="T55" s="190">
        <f t="shared" si="15"/>
        <v>41.772499999999994</v>
      </c>
      <c r="U55" s="1"/>
      <c r="V55" s="1"/>
      <c r="W55" s="1"/>
      <c r="X55" s="1"/>
      <c r="Y55" s="1"/>
      <c r="Z55" s="1"/>
      <c r="AA55" s="1"/>
      <c r="AB55" s="1"/>
      <c r="AC55" s="1"/>
      <c r="AD55" s="1"/>
      <c r="AE55" s="82">
        <v>15</v>
      </c>
      <c r="AF55" s="74">
        <v>0.625</v>
      </c>
      <c r="AG55" s="78">
        <v>0.5</v>
      </c>
      <c r="AH55" s="99">
        <f t="shared" si="16"/>
        <v>5.8187500000000005</v>
      </c>
      <c r="AI55" s="61">
        <f t="shared" si="17"/>
        <v>5.7</v>
      </c>
      <c r="AJ55" s="93">
        <f t="shared" si="18"/>
        <v>-0.11875000000000036</v>
      </c>
      <c r="AK55" s="91">
        <f>SUM($AJ$40:AJ55)</f>
        <v>23.993437500000006</v>
      </c>
      <c r="AL55" s="190">
        <f t="shared" si="20"/>
        <v>52.103437500000005</v>
      </c>
      <c r="AM55" s="1"/>
      <c r="AN55" s="1"/>
      <c r="AO55" s="1"/>
      <c r="AP55" s="1"/>
      <c r="AQ55" s="1"/>
      <c r="AR55" s="1"/>
      <c r="AS55" s="1"/>
      <c r="AT55" s="1"/>
    </row>
    <row r="56" spans="1:46" x14ac:dyDescent="0.25">
      <c r="A56" s="1"/>
      <c r="B56" s="1"/>
      <c r="C56" s="1"/>
      <c r="D56" s="1"/>
      <c r="E56" s="1"/>
      <c r="F56" s="1"/>
      <c r="G56" s="1"/>
      <c r="H56" s="1"/>
      <c r="I56" s="1"/>
      <c r="J56" s="1"/>
      <c r="K56" s="1"/>
      <c r="L56" s="1"/>
      <c r="M56" s="82">
        <v>16</v>
      </c>
      <c r="N56" s="74">
        <v>0.66666666666666696</v>
      </c>
      <c r="O56" s="78">
        <v>0.6</v>
      </c>
      <c r="P56" s="180">
        <f t="shared" si="13"/>
        <v>3.9000000000000004</v>
      </c>
      <c r="Q56" s="61">
        <f t="shared" si="14"/>
        <v>3.2</v>
      </c>
      <c r="R56" s="183">
        <f t="shared" si="19"/>
        <v>-0.70000000000000018</v>
      </c>
      <c r="S56" s="188">
        <f>SUM($R$40:R56)</f>
        <v>12.962499999999999</v>
      </c>
      <c r="T56" s="190">
        <f t="shared" si="15"/>
        <v>41.072499999999998</v>
      </c>
      <c r="U56" s="1"/>
      <c r="V56" s="1"/>
      <c r="W56" s="1"/>
      <c r="X56" s="1"/>
      <c r="Y56" s="1"/>
      <c r="Z56" s="1"/>
      <c r="AA56" s="1"/>
      <c r="AB56" s="1"/>
      <c r="AC56" s="1"/>
      <c r="AD56" s="1"/>
      <c r="AE56" s="82">
        <v>16</v>
      </c>
      <c r="AF56" s="74">
        <v>0.66666666666666696</v>
      </c>
      <c r="AG56" s="78">
        <v>0.6</v>
      </c>
      <c r="AH56" s="99">
        <f t="shared" si="16"/>
        <v>6.9824999999999999</v>
      </c>
      <c r="AI56" s="61">
        <f t="shared" si="17"/>
        <v>5.7</v>
      </c>
      <c r="AJ56" s="93">
        <f t="shared" si="18"/>
        <v>-1.2824999999999998</v>
      </c>
      <c r="AK56" s="91">
        <f>SUM($AJ$40:AJ56)</f>
        <v>22.710937500000007</v>
      </c>
      <c r="AL56" s="190">
        <f t="shared" si="20"/>
        <v>50.820937500000007</v>
      </c>
      <c r="AM56" s="1"/>
      <c r="AN56" s="1"/>
      <c r="AO56" s="1"/>
      <c r="AP56" s="1"/>
      <c r="AQ56" s="1"/>
      <c r="AR56" s="1"/>
      <c r="AS56" s="1"/>
      <c r="AT56" s="1"/>
    </row>
    <row r="57" spans="1:46" x14ac:dyDescent="0.25">
      <c r="A57" s="1"/>
      <c r="B57" s="1"/>
      <c r="C57" s="1"/>
      <c r="D57" s="1"/>
      <c r="E57" s="1"/>
      <c r="F57" s="1"/>
      <c r="G57" s="1"/>
      <c r="H57" s="1"/>
      <c r="I57" s="1"/>
      <c r="J57" s="1"/>
      <c r="K57" s="1"/>
      <c r="L57" s="1"/>
      <c r="M57" s="82">
        <v>17</v>
      </c>
      <c r="N57" s="74">
        <v>0.70833333333333304</v>
      </c>
      <c r="O57" s="78">
        <v>0.7</v>
      </c>
      <c r="P57" s="180">
        <f t="shared" si="13"/>
        <v>4.55</v>
      </c>
      <c r="Q57" s="61">
        <f t="shared" si="14"/>
        <v>3.2</v>
      </c>
      <c r="R57" s="183">
        <f t="shared" si="19"/>
        <v>-1.3499999999999996</v>
      </c>
      <c r="S57" s="188">
        <f>SUM($R$40:R57)</f>
        <v>11.612499999999999</v>
      </c>
      <c r="T57" s="190">
        <f t="shared" si="15"/>
        <v>39.722499999999997</v>
      </c>
      <c r="U57" s="1"/>
      <c r="V57" s="1"/>
      <c r="W57" s="1"/>
      <c r="X57" s="1"/>
      <c r="Y57" s="1"/>
      <c r="Z57" s="1"/>
      <c r="AA57" s="1"/>
      <c r="AB57" s="1"/>
      <c r="AC57" s="1"/>
      <c r="AD57" s="1"/>
      <c r="AE57" s="82">
        <v>17</v>
      </c>
      <c r="AF57" s="74">
        <v>0.70833333333333304</v>
      </c>
      <c r="AG57" s="78">
        <v>0.7</v>
      </c>
      <c r="AH57" s="99">
        <f t="shared" si="16"/>
        <v>8.1462500000000002</v>
      </c>
      <c r="AI57" s="61">
        <f t="shared" si="17"/>
        <v>5.7</v>
      </c>
      <c r="AJ57" s="93">
        <f t="shared" si="18"/>
        <v>-2.44625</v>
      </c>
      <c r="AK57" s="91">
        <f>SUM($AJ$40:AJ57)</f>
        <v>20.264687500000008</v>
      </c>
      <c r="AL57" s="190">
        <f t="shared" si="20"/>
        <v>48.374687500000007</v>
      </c>
      <c r="AM57" s="1"/>
      <c r="AN57" s="1"/>
      <c r="AO57" s="1"/>
      <c r="AP57" s="1"/>
      <c r="AQ57" s="1"/>
      <c r="AR57" s="1"/>
      <c r="AS57" s="1"/>
      <c r="AT57" s="1"/>
    </row>
    <row r="58" spans="1:46" x14ac:dyDescent="0.25">
      <c r="A58" s="1"/>
      <c r="B58" s="1"/>
      <c r="C58" s="1"/>
      <c r="D58" s="1"/>
      <c r="E58" s="1"/>
      <c r="F58" s="1"/>
      <c r="G58" s="1"/>
      <c r="H58" s="1"/>
      <c r="I58" s="1"/>
      <c r="J58" s="1"/>
      <c r="K58" s="1"/>
      <c r="L58" s="1"/>
      <c r="M58" s="82">
        <v>18</v>
      </c>
      <c r="N58" s="74">
        <v>0.75</v>
      </c>
      <c r="O58" s="78">
        <v>0.8</v>
      </c>
      <c r="P58" s="180">
        <f t="shared" si="13"/>
        <v>5.2</v>
      </c>
      <c r="Q58" s="61">
        <f t="shared" si="14"/>
        <v>3.2</v>
      </c>
      <c r="R58" s="183">
        <f t="shared" si="19"/>
        <v>-2</v>
      </c>
      <c r="S58" s="188">
        <f>SUM($R$40:R58)</f>
        <v>9.6124999999999989</v>
      </c>
      <c r="T58" s="190">
        <f t="shared" si="15"/>
        <v>37.722499999999997</v>
      </c>
      <c r="U58" s="1"/>
      <c r="V58" s="1"/>
      <c r="W58" s="1"/>
      <c r="X58" s="1"/>
      <c r="Y58" s="1"/>
      <c r="Z58" s="1"/>
      <c r="AA58" s="1"/>
      <c r="AB58" s="1"/>
      <c r="AC58" s="1"/>
      <c r="AD58" s="1"/>
      <c r="AE58" s="82">
        <v>18</v>
      </c>
      <c r="AF58" s="74">
        <v>0.75</v>
      </c>
      <c r="AG58" s="78">
        <v>0.8</v>
      </c>
      <c r="AH58" s="99">
        <f t="shared" si="16"/>
        <v>9.31</v>
      </c>
      <c r="AI58" s="61">
        <f t="shared" si="17"/>
        <v>5.7</v>
      </c>
      <c r="AJ58" s="93">
        <f t="shared" si="18"/>
        <v>-3.6100000000000003</v>
      </c>
      <c r="AK58" s="91">
        <f>SUM($AJ$40:AJ58)</f>
        <v>16.654687500000009</v>
      </c>
      <c r="AL58" s="190">
        <f t="shared" si="20"/>
        <v>44.764687500000008</v>
      </c>
      <c r="AM58" s="1"/>
      <c r="AN58" s="1"/>
      <c r="AO58" s="1"/>
      <c r="AP58" s="1"/>
      <c r="AQ58" s="1"/>
      <c r="AR58" s="1"/>
      <c r="AS58" s="1"/>
      <c r="AT58" s="1"/>
    </row>
    <row r="59" spans="1:46" x14ac:dyDescent="0.25">
      <c r="A59" s="1"/>
      <c r="B59" s="1"/>
      <c r="C59" s="1"/>
      <c r="D59" s="1"/>
      <c r="E59" s="1"/>
      <c r="F59" s="1"/>
      <c r="G59" s="1"/>
      <c r="H59" s="1"/>
      <c r="I59" s="1"/>
      <c r="J59" s="1"/>
      <c r="K59" s="1"/>
      <c r="L59" s="1"/>
      <c r="M59" s="82">
        <v>19</v>
      </c>
      <c r="N59" s="74">
        <v>0.79166666666666696</v>
      </c>
      <c r="O59" s="78">
        <v>0.8</v>
      </c>
      <c r="P59" s="180">
        <f t="shared" si="13"/>
        <v>5.2</v>
      </c>
      <c r="Q59" s="61">
        <f t="shared" si="14"/>
        <v>3.2</v>
      </c>
      <c r="R59" s="183">
        <f t="shared" si="19"/>
        <v>-2</v>
      </c>
      <c r="S59" s="188">
        <f>SUM($R$40:R59)</f>
        <v>7.6124999999999989</v>
      </c>
      <c r="T59" s="190">
        <f t="shared" si="15"/>
        <v>35.722499999999997</v>
      </c>
      <c r="U59" s="1"/>
      <c r="V59" s="1"/>
      <c r="W59" s="1"/>
      <c r="X59" s="1"/>
      <c r="Y59" s="1"/>
      <c r="Z59" s="1"/>
      <c r="AA59" s="1"/>
      <c r="AB59" s="1"/>
      <c r="AC59" s="1"/>
      <c r="AD59" s="1"/>
      <c r="AE59" s="82">
        <v>19</v>
      </c>
      <c r="AF59" s="74">
        <v>0.79166666666666696</v>
      </c>
      <c r="AG59" s="78">
        <v>0.8</v>
      </c>
      <c r="AH59" s="99">
        <f t="shared" si="16"/>
        <v>9.31</v>
      </c>
      <c r="AI59" s="61">
        <f t="shared" si="17"/>
        <v>5.7</v>
      </c>
      <c r="AJ59" s="93">
        <f t="shared" si="18"/>
        <v>-3.6100000000000003</v>
      </c>
      <c r="AK59" s="91">
        <f>SUM($AJ$40:AJ59)</f>
        <v>13.044687500000009</v>
      </c>
      <c r="AL59" s="190">
        <f t="shared" si="20"/>
        <v>41.154687500000009</v>
      </c>
      <c r="AM59" s="1"/>
      <c r="AN59" s="1"/>
      <c r="AO59" s="1"/>
      <c r="AP59" s="1"/>
      <c r="AQ59" s="1"/>
      <c r="AR59" s="1"/>
      <c r="AS59" s="1"/>
      <c r="AT59" s="1"/>
    </row>
    <row r="60" spans="1:46" x14ac:dyDescent="0.25">
      <c r="A60" s="1"/>
      <c r="B60" s="1"/>
      <c r="C60" s="1"/>
      <c r="D60" s="1"/>
      <c r="E60" s="1"/>
      <c r="F60" s="1"/>
      <c r="G60" s="1"/>
      <c r="H60" s="1"/>
      <c r="I60" s="1"/>
      <c r="J60" s="1"/>
      <c r="K60" s="1"/>
      <c r="L60" s="1"/>
      <c r="M60" s="82">
        <v>20</v>
      </c>
      <c r="N60" s="74">
        <v>0.83333333333333304</v>
      </c>
      <c r="O60" s="78">
        <v>0.8</v>
      </c>
      <c r="P60" s="180">
        <f t="shared" si="13"/>
        <v>5.2</v>
      </c>
      <c r="Q60" s="61">
        <f t="shared" si="14"/>
        <v>3.2</v>
      </c>
      <c r="R60" s="183">
        <f t="shared" si="19"/>
        <v>-2</v>
      </c>
      <c r="S60" s="188">
        <f>SUM($R$40:R60)</f>
        <v>5.6124999999999989</v>
      </c>
      <c r="T60" s="190">
        <f t="shared" si="15"/>
        <v>33.722499999999997</v>
      </c>
      <c r="U60" s="1"/>
      <c r="V60" s="1"/>
      <c r="W60" s="1"/>
      <c r="X60" s="1"/>
      <c r="Y60" s="1"/>
      <c r="Z60" s="1"/>
      <c r="AA60" s="1"/>
      <c r="AB60" s="1"/>
      <c r="AC60" s="1"/>
      <c r="AD60" s="1"/>
      <c r="AE60" s="82">
        <v>20</v>
      </c>
      <c r="AF60" s="74">
        <v>0.83333333333333304</v>
      </c>
      <c r="AG60" s="78">
        <v>0.8</v>
      </c>
      <c r="AH60" s="99">
        <f t="shared" si="16"/>
        <v>9.31</v>
      </c>
      <c r="AI60" s="61">
        <f t="shared" si="17"/>
        <v>5.7</v>
      </c>
      <c r="AJ60" s="93">
        <f t="shared" si="18"/>
        <v>-3.6100000000000003</v>
      </c>
      <c r="AK60" s="91">
        <f>SUM($AJ$40:AJ60)</f>
        <v>9.4346875000000097</v>
      </c>
      <c r="AL60" s="190">
        <f t="shared" si="20"/>
        <v>37.544687500000009</v>
      </c>
      <c r="AM60" s="1"/>
      <c r="AN60" s="1"/>
      <c r="AO60" s="1"/>
      <c r="AP60" s="1"/>
      <c r="AQ60" s="1"/>
      <c r="AR60" s="1"/>
      <c r="AS60" s="1"/>
      <c r="AT60" s="1"/>
    </row>
    <row r="61" spans="1:46" x14ac:dyDescent="0.25">
      <c r="A61" s="1"/>
      <c r="B61" s="1"/>
      <c r="C61" s="1"/>
      <c r="D61" s="1"/>
      <c r="E61" s="1"/>
      <c r="F61" s="1"/>
      <c r="G61" s="1"/>
      <c r="H61" s="1"/>
      <c r="I61" s="1"/>
      <c r="J61" s="1"/>
      <c r="K61" s="1"/>
      <c r="L61" s="1"/>
      <c r="M61" s="82">
        <v>21</v>
      </c>
      <c r="N61" s="74">
        <v>0.875</v>
      </c>
      <c r="O61" s="78">
        <v>0.8</v>
      </c>
      <c r="P61" s="180">
        <f t="shared" si="13"/>
        <v>5.2</v>
      </c>
      <c r="Q61" s="61">
        <f t="shared" si="14"/>
        <v>3.2</v>
      </c>
      <c r="R61" s="183">
        <f t="shared" si="19"/>
        <v>-2</v>
      </c>
      <c r="S61" s="188">
        <f>SUM($R$40:R61)</f>
        <v>3.6124999999999989</v>
      </c>
      <c r="T61" s="190">
        <f t="shared" si="15"/>
        <v>31.722499999999997</v>
      </c>
      <c r="U61" s="1"/>
      <c r="V61" s="1"/>
      <c r="W61" s="1"/>
      <c r="X61" s="1"/>
      <c r="Y61" s="1"/>
      <c r="Z61" s="1"/>
      <c r="AA61" s="1"/>
      <c r="AB61" s="1"/>
      <c r="AC61" s="1"/>
      <c r="AD61" s="1"/>
      <c r="AE61" s="82">
        <v>21</v>
      </c>
      <c r="AF61" s="74">
        <v>0.875</v>
      </c>
      <c r="AG61" s="78">
        <v>0.8</v>
      </c>
      <c r="AH61" s="99">
        <f t="shared" si="16"/>
        <v>9.31</v>
      </c>
      <c r="AI61" s="61">
        <f t="shared" si="17"/>
        <v>5.7</v>
      </c>
      <c r="AJ61" s="93">
        <f t="shared" si="18"/>
        <v>-3.6100000000000003</v>
      </c>
      <c r="AK61" s="91">
        <f>SUM($AJ$40:AJ61)</f>
        <v>5.8246875000000093</v>
      </c>
      <c r="AL61" s="190">
        <f t="shared" si="20"/>
        <v>33.93468750000001</v>
      </c>
      <c r="AM61" s="1"/>
      <c r="AN61" s="1"/>
      <c r="AO61" s="1"/>
      <c r="AP61" s="1"/>
      <c r="AQ61" s="1"/>
      <c r="AR61" s="1"/>
      <c r="AS61" s="1"/>
      <c r="AT61" s="1"/>
    </row>
    <row r="62" spans="1:46" x14ac:dyDescent="0.25">
      <c r="A62" s="1"/>
      <c r="B62" s="1"/>
      <c r="C62" s="1"/>
      <c r="D62" s="1"/>
      <c r="E62" s="1"/>
      <c r="F62" s="1"/>
      <c r="G62" s="1"/>
      <c r="H62" s="1"/>
      <c r="I62" s="1"/>
      <c r="J62" s="1"/>
      <c r="K62" s="1"/>
      <c r="L62" s="1"/>
      <c r="M62" s="83">
        <v>22</v>
      </c>
      <c r="N62" s="75">
        <v>0.91666666666666696</v>
      </c>
      <c r="O62" s="79">
        <v>0.6</v>
      </c>
      <c r="P62" s="180">
        <f t="shared" si="13"/>
        <v>3.9000000000000004</v>
      </c>
      <c r="Q62" s="61">
        <f t="shared" si="14"/>
        <v>3.2</v>
      </c>
      <c r="R62" s="183">
        <f t="shared" si="19"/>
        <v>-0.70000000000000018</v>
      </c>
      <c r="S62" s="188">
        <f>SUM($R$40:R62)</f>
        <v>2.9124999999999988</v>
      </c>
      <c r="T62" s="190">
        <f t="shared" si="15"/>
        <v>31.022499999999997</v>
      </c>
      <c r="U62" s="1"/>
      <c r="V62" s="1"/>
      <c r="W62" s="1"/>
      <c r="X62" s="1"/>
      <c r="Y62" s="1"/>
      <c r="Z62" s="1"/>
      <c r="AA62" s="1"/>
      <c r="AB62" s="1"/>
      <c r="AC62" s="1"/>
      <c r="AD62" s="1"/>
      <c r="AE62" s="83">
        <v>22</v>
      </c>
      <c r="AF62" s="75">
        <v>0.91666666666666696</v>
      </c>
      <c r="AG62" s="79">
        <v>0.6</v>
      </c>
      <c r="AH62" s="99">
        <f t="shared" si="16"/>
        <v>6.9824999999999999</v>
      </c>
      <c r="AI62" s="61">
        <f t="shared" si="17"/>
        <v>5.7</v>
      </c>
      <c r="AJ62" s="93">
        <f t="shared" si="18"/>
        <v>-1.2824999999999998</v>
      </c>
      <c r="AK62" s="91">
        <f>SUM($AJ$40:AJ62)</f>
        <v>4.5421875000000096</v>
      </c>
      <c r="AL62" s="190">
        <f t="shared" si="20"/>
        <v>32.652187500000011</v>
      </c>
      <c r="AM62" s="1"/>
      <c r="AN62" s="1"/>
      <c r="AO62" s="1"/>
      <c r="AP62" s="1"/>
      <c r="AQ62" s="1"/>
      <c r="AR62" s="1"/>
      <c r="AS62" s="1"/>
      <c r="AT62" s="1"/>
    </row>
    <row r="63" spans="1:46" ht="15.75" thickBot="1" x14ac:dyDescent="0.3">
      <c r="A63" s="1"/>
      <c r="B63" s="1"/>
      <c r="C63" s="1"/>
      <c r="D63" s="1"/>
      <c r="E63" s="1"/>
      <c r="F63" s="1"/>
      <c r="G63" s="1"/>
      <c r="H63" s="1"/>
      <c r="I63" s="1"/>
      <c r="J63" s="1"/>
      <c r="K63" s="1"/>
      <c r="L63" s="1"/>
      <c r="M63" s="84">
        <v>23</v>
      </c>
      <c r="N63" s="76">
        <v>0.95833333333333304</v>
      </c>
      <c r="O63" s="80">
        <v>0.4</v>
      </c>
      <c r="P63" s="181">
        <f t="shared" si="13"/>
        <v>2.6</v>
      </c>
      <c r="Q63" s="62">
        <f t="shared" si="14"/>
        <v>3.2</v>
      </c>
      <c r="R63" s="183">
        <f t="shared" si="19"/>
        <v>0.60000000000000009</v>
      </c>
      <c r="S63" s="188">
        <f>SUM($R$40:R63)</f>
        <v>3.5124999999999988</v>
      </c>
      <c r="T63" s="191">
        <f t="shared" si="15"/>
        <v>31.622499999999999</v>
      </c>
      <c r="U63" s="1"/>
      <c r="V63" s="1"/>
      <c r="W63" s="1"/>
      <c r="X63" s="1"/>
      <c r="Y63" s="1"/>
      <c r="Z63" s="1"/>
      <c r="AA63" s="1"/>
      <c r="AB63" s="1"/>
      <c r="AC63" s="1"/>
      <c r="AD63" s="1"/>
      <c r="AE63" s="84">
        <v>23</v>
      </c>
      <c r="AF63" s="76">
        <v>0.95833333333333304</v>
      </c>
      <c r="AG63" s="80">
        <v>0.4</v>
      </c>
      <c r="AH63" s="100">
        <f t="shared" si="16"/>
        <v>4.6550000000000002</v>
      </c>
      <c r="AI63" s="62">
        <f t="shared" si="17"/>
        <v>5.7</v>
      </c>
      <c r="AJ63" s="93">
        <f t="shared" si="18"/>
        <v>1.0449999999999999</v>
      </c>
      <c r="AK63" s="91">
        <f>SUM($AJ$40:AJ63)</f>
        <v>5.5871875000000095</v>
      </c>
      <c r="AL63" s="191">
        <f t="shared" si="20"/>
        <v>33.697187500000013</v>
      </c>
      <c r="AM63" s="1"/>
      <c r="AN63" s="1"/>
      <c r="AO63" s="1"/>
      <c r="AP63" s="1"/>
      <c r="AQ63" s="1"/>
      <c r="AR63" s="1"/>
      <c r="AS63" s="1"/>
      <c r="AT63" s="1"/>
    </row>
    <row r="64" spans="1:46" ht="15.75" thickBot="1" x14ac:dyDescent="0.3">
      <c r="A64" s="1"/>
      <c r="B64" s="1"/>
      <c r="C64" s="1"/>
      <c r="D64" s="1"/>
      <c r="E64" s="1"/>
      <c r="F64" s="1"/>
      <c r="G64" s="1"/>
      <c r="H64" s="1"/>
      <c r="I64" s="1"/>
      <c r="J64" s="1"/>
      <c r="K64" s="1"/>
      <c r="L64" s="1"/>
      <c r="M64" s="1"/>
      <c r="N64" s="1"/>
      <c r="O64" s="1"/>
      <c r="P64" s="1"/>
      <c r="Q64" s="1"/>
      <c r="R64" s="64" t="s">
        <v>106</v>
      </c>
      <c r="S64" s="69">
        <f>1-(Q40/MAX(P40:P63))</f>
        <v>0.38461538461538458</v>
      </c>
      <c r="T64" s="1"/>
      <c r="U64" s="1"/>
      <c r="V64" s="1"/>
      <c r="W64" s="1"/>
      <c r="X64" s="1"/>
      <c r="Y64" s="1"/>
      <c r="Z64" s="1"/>
      <c r="AA64" s="1"/>
      <c r="AB64" s="1"/>
      <c r="AC64" s="1"/>
      <c r="AD64" s="1"/>
      <c r="AE64" s="1"/>
      <c r="AF64" s="1"/>
      <c r="AG64" s="1"/>
      <c r="AH64" s="1"/>
      <c r="AI64" s="1"/>
      <c r="AJ64" s="64" t="s">
        <v>106</v>
      </c>
      <c r="AK64" s="69">
        <f>1-(AI40/MAX(AH40:AH63))</f>
        <v>0.38775510204081631</v>
      </c>
      <c r="AL64" s="1"/>
      <c r="AM64" s="1"/>
      <c r="AN64" s="1"/>
      <c r="AO64" s="1"/>
      <c r="AP64" s="1"/>
      <c r="AQ64" s="1"/>
      <c r="AR64" s="1"/>
      <c r="AS64" s="1"/>
      <c r="AT64" s="1"/>
    </row>
    <row r="65" spans="1:46" ht="15.75" thickBot="1" x14ac:dyDescent="0.3">
      <c r="A65" s="1"/>
      <c r="B65" s="1"/>
      <c r="C65" s="1"/>
      <c r="D65" s="1"/>
      <c r="E65" s="1"/>
      <c r="F65" s="1"/>
      <c r="G65" s="1"/>
      <c r="H65" s="1"/>
      <c r="I65" s="1"/>
      <c r="J65" s="1"/>
      <c r="K65" s="1"/>
      <c r="L65" s="1"/>
      <c r="M65" s="1"/>
      <c r="N65" s="1"/>
      <c r="O65" s="1"/>
      <c r="P65" s="1"/>
      <c r="Q65" s="1"/>
      <c r="R65" s="65" t="s">
        <v>109</v>
      </c>
      <c r="S65" s="94">
        <f>MAX(S40:S63)</f>
        <v>15.6875</v>
      </c>
      <c r="T65" s="192">
        <f>S65+3*T36</f>
        <v>43.797499999999999</v>
      </c>
      <c r="U65" s="1"/>
      <c r="V65" s="1"/>
      <c r="W65" s="1"/>
      <c r="X65" s="1"/>
      <c r="Y65" s="1"/>
      <c r="Z65" s="1"/>
      <c r="AA65" s="1"/>
      <c r="AB65" s="1"/>
      <c r="AC65" s="1"/>
      <c r="AD65" s="1"/>
      <c r="AE65" s="1"/>
      <c r="AF65" s="1"/>
      <c r="AG65" s="1"/>
      <c r="AH65" s="1"/>
      <c r="AI65" s="1"/>
      <c r="AJ65" s="65" t="s">
        <v>109</v>
      </c>
      <c r="AK65" s="94">
        <f>MAX(AK40:AK63)</f>
        <v>27.852812499999999</v>
      </c>
      <c r="AL65" s="192">
        <f>AK65+3*AL36</f>
        <v>55.962812499999998</v>
      </c>
      <c r="AM65" s="1"/>
      <c r="AN65" s="1"/>
      <c r="AO65" s="1"/>
      <c r="AP65" s="1"/>
      <c r="AQ65" s="1"/>
      <c r="AR65" s="1"/>
      <c r="AS65" s="1"/>
      <c r="AT65" s="1"/>
    </row>
    <row r="66" spans="1:46" x14ac:dyDescent="0.25">
      <c r="A66" s="1"/>
      <c r="B66" s="1"/>
      <c r="C66" s="1"/>
      <c r="D66" s="1"/>
      <c r="E66" s="1"/>
      <c r="F66" s="1"/>
      <c r="G66" s="1"/>
      <c r="H66" s="1"/>
      <c r="I66" s="1"/>
      <c r="J66" s="1"/>
      <c r="K66" s="1"/>
      <c r="L66" s="1"/>
      <c r="M66" s="1"/>
      <c r="N66" s="1"/>
      <c r="O66" s="1"/>
      <c r="P66" s="1"/>
      <c r="Q66" s="1"/>
      <c r="R66" s="65" t="s">
        <v>110</v>
      </c>
      <c r="S66" s="94">
        <f>MAX(R40:R63)</f>
        <v>2.5500000000000003</v>
      </c>
      <c r="T66" s="1"/>
      <c r="U66" s="1"/>
      <c r="V66" s="1"/>
      <c r="W66" s="1"/>
      <c r="X66" s="1"/>
      <c r="Y66" s="1"/>
      <c r="Z66" s="1"/>
      <c r="AA66" s="1"/>
      <c r="AB66" s="1"/>
      <c r="AC66" s="1"/>
      <c r="AD66" s="1"/>
      <c r="AE66" s="1"/>
      <c r="AF66" s="1"/>
      <c r="AG66" s="1"/>
      <c r="AH66" s="1"/>
      <c r="AI66" s="1"/>
      <c r="AJ66" s="65" t="s">
        <v>110</v>
      </c>
      <c r="AK66" s="97">
        <f>MAX(AJ40:AJ63)</f>
        <v>4.5362499999999999</v>
      </c>
      <c r="AL66" s="1"/>
      <c r="AM66" s="1"/>
      <c r="AN66" s="1"/>
      <c r="AO66" s="1"/>
      <c r="AP66" s="1"/>
      <c r="AQ66" s="1"/>
      <c r="AR66" s="1"/>
      <c r="AS66" s="1"/>
      <c r="AT66" s="1"/>
    </row>
    <row r="67" spans="1:46" ht="15.75" thickBot="1" x14ac:dyDescent="0.3">
      <c r="A67" s="1"/>
      <c r="B67" s="1"/>
      <c r="C67" s="1"/>
      <c r="D67" s="1"/>
      <c r="E67" s="1"/>
      <c r="F67" s="1"/>
      <c r="G67" s="1"/>
      <c r="H67" s="1"/>
      <c r="I67" s="1"/>
      <c r="J67" s="1"/>
      <c r="K67" s="1"/>
      <c r="L67" s="1"/>
      <c r="M67" s="1"/>
      <c r="N67" s="1"/>
      <c r="O67" s="1"/>
      <c r="P67" s="1"/>
      <c r="Q67" s="1"/>
      <c r="R67" s="66" t="s">
        <v>111</v>
      </c>
      <c r="S67" s="95">
        <f>MIN(R40:R63)</f>
        <v>-2</v>
      </c>
      <c r="T67" s="1"/>
      <c r="U67" s="1"/>
      <c r="V67" s="1"/>
      <c r="W67" s="1"/>
      <c r="X67" s="1"/>
      <c r="Y67" s="1"/>
      <c r="Z67" s="1"/>
      <c r="AA67" s="1"/>
      <c r="AB67" s="1"/>
      <c r="AC67" s="1"/>
      <c r="AD67" s="1"/>
      <c r="AE67" s="1"/>
      <c r="AF67" s="1"/>
      <c r="AG67" s="1"/>
      <c r="AH67" s="1"/>
      <c r="AI67" s="1"/>
      <c r="AJ67" s="66" t="s">
        <v>111</v>
      </c>
      <c r="AK67" s="95">
        <f>MIN(AJ40:AJ63)</f>
        <v>-3.6100000000000003</v>
      </c>
      <c r="AL67" s="1"/>
      <c r="AM67" s="1"/>
      <c r="AN67" s="1"/>
      <c r="AO67" s="1"/>
      <c r="AP67" s="1"/>
      <c r="AQ67" s="1"/>
      <c r="AR67" s="1"/>
      <c r="AS67" s="1"/>
      <c r="AT67" s="1"/>
    </row>
    <row r="68" spans="1:4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row>
    <row r="77" spans="1:4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x14ac:dyDescent="0.25">
      <c r="A87" s="1"/>
      <c r="B87" s="1"/>
      <c r="C87" s="1"/>
      <c r="D87" s="1"/>
      <c r="E87" s="1"/>
      <c r="F87" s="1"/>
      <c r="G87" s="1"/>
      <c r="AM87" s="1"/>
      <c r="AN87" s="1"/>
    </row>
  </sheetData>
  <mergeCells count="19">
    <mergeCell ref="M37:N37"/>
    <mergeCell ref="AE37:AG37"/>
    <mergeCell ref="AE1:AG1"/>
    <mergeCell ref="AH1:AI1"/>
    <mergeCell ref="D2:E2"/>
    <mergeCell ref="M2:N2"/>
    <mergeCell ref="V2:W2"/>
    <mergeCell ref="AE2:AG2"/>
    <mergeCell ref="D1:E1"/>
    <mergeCell ref="G1:H1"/>
    <mergeCell ref="M1:N1"/>
    <mergeCell ref="P1:Q1"/>
    <mergeCell ref="V1:W1"/>
    <mergeCell ref="Y1:Z1"/>
    <mergeCell ref="AM12:AN12"/>
    <mergeCell ref="M36:N36"/>
    <mergeCell ref="P36:Q36"/>
    <mergeCell ref="AE36:AG36"/>
    <mergeCell ref="AH36:AI36"/>
  </mergeCells>
  <pageMargins left="0.7" right="0.7" top="0.75" bottom="0.75" header="0.3" footer="0.3"/>
  <pageSetup paperSize="9" orientation="portrait" r:id="rId1"/>
  <headerFooter>
    <oddFooter>&amp;C&amp;1#&amp;"Calibri"&amp;12&amp;K008000Internal Use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A46DD-EAA3-4439-8987-BC4A3DF9FE9A}">
  <sheetPr>
    <tabColor theme="9"/>
  </sheetPr>
  <dimension ref="A1:AL90"/>
  <sheetViews>
    <sheetView tabSelected="1" zoomScale="90" zoomScaleNormal="90" workbookViewId="0">
      <selection activeCell="D5" sqref="D5"/>
    </sheetView>
  </sheetViews>
  <sheetFormatPr defaultRowHeight="15" x14ac:dyDescent="0.25"/>
  <cols>
    <col min="2" max="2" width="52.85546875" customWidth="1"/>
    <col min="3" max="3" width="32.85546875" customWidth="1"/>
    <col min="4" max="4" width="24.7109375" customWidth="1"/>
    <col min="5" max="5" width="24" hidden="1" customWidth="1"/>
    <col min="6" max="6" width="24.7109375" hidden="1" customWidth="1"/>
    <col min="7" max="7" width="17.42578125" customWidth="1"/>
    <col min="8" max="8" width="18.7109375" customWidth="1"/>
    <col min="9" max="9" width="59.28515625" hidden="1" customWidth="1"/>
    <col min="10" max="18" width="9.140625" hidden="1" customWidth="1"/>
    <col min="19" max="19" width="50.28515625" hidden="1" customWidth="1"/>
    <col min="20" max="27" width="9.140625" hidden="1" customWidth="1"/>
  </cols>
  <sheetData>
    <row r="1" spans="1:38" x14ac:dyDescent="0.25">
      <c r="A1" s="1"/>
      <c r="B1" s="1"/>
      <c r="C1" s="1"/>
      <c r="D1" s="1"/>
      <c r="E1" s="204"/>
      <c r="F1" s="204"/>
      <c r="G1" s="204"/>
      <c r="H1" s="1"/>
      <c r="I1" s="1"/>
      <c r="J1" s="1"/>
      <c r="K1" s="1"/>
      <c r="L1" s="1"/>
      <c r="M1" s="1"/>
      <c r="N1" s="1"/>
      <c r="O1" s="1"/>
      <c r="P1" s="1"/>
      <c r="Q1" s="1"/>
      <c r="R1" s="1"/>
      <c r="S1" s="1"/>
      <c r="T1" s="200"/>
      <c r="U1" s="200"/>
      <c r="V1" s="200"/>
      <c r="W1" s="200"/>
      <c r="X1" s="200"/>
      <c r="Y1" s="200"/>
      <c r="Z1" s="200"/>
      <c r="AA1" s="200"/>
      <c r="AB1" s="1"/>
      <c r="AC1" s="1"/>
      <c r="AD1" s="1"/>
      <c r="AE1" s="1"/>
      <c r="AF1" s="1"/>
      <c r="AG1" s="1"/>
      <c r="AH1" s="1"/>
      <c r="AI1" s="1"/>
      <c r="AJ1" s="1"/>
      <c r="AK1" s="1"/>
      <c r="AL1" s="1"/>
    </row>
    <row r="2" spans="1:38" x14ac:dyDescent="0.25">
      <c r="A2" s="1"/>
      <c r="B2" s="1"/>
      <c r="C2" s="1"/>
      <c r="D2" s="1"/>
      <c r="E2" s="204"/>
      <c r="F2" s="204"/>
      <c r="G2" s="204"/>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1:38" ht="15" customHeight="1" x14ac:dyDescent="0.25">
      <c r="A3" s="1"/>
      <c r="B3" s="283" t="s">
        <v>52</v>
      </c>
      <c r="C3" s="283" t="s">
        <v>248</v>
      </c>
      <c r="D3" s="283" t="s">
        <v>414</v>
      </c>
      <c r="E3" s="283" t="s">
        <v>405</v>
      </c>
      <c r="F3" s="283" t="s">
        <v>406</v>
      </c>
      <c r="G3" s="204"/>
      <c r="H3" s="1"/>
      <c r="I3" s="503" t="s">
        <v>403</v>
      </c>
      <c r="J3" s="1"/>
      <c r="K3" s="1"/>
      <c r="L3" s="1"/>
      <c r="M3" s="1"/>
      <c r="N3" s="1"/>
      <c r="O3" s="1"/>
      <c r="P3" s="1"/>
      <c r="Q3" s="1"/>
      <c r="R3" s="1"/>
      <c r="S3" s="503" t="s">
        <v>404</v>
      </c>
      <c r="T3" s="1"/>
      <c r="U3" s="1"/>
      <c r="V3" s="1"/>
      <c r="W3" s="1"/>
      <c r="X3" s="1"/>
      <c r="Y3" s="1"/>
      <c r="Z3" s="1"/>
      <c r="AA3" s="1"/>
      <c r="AB3" s="1"/>
      <c r="AC3" s="1"/>
      <c r="AD3" s="1"/>
      <c r="AE3" s="1"/>
      <c r="AF3" s="1"/>
      <c r="AG3" s="1"/>
      <c r="AH3" s="1"/>
      <c r="AI3" s="1"/>
      <c r="AJ3" s="1"/>
      <c r="AK3" s="1"/>
      <c r="AL3" s="1"/>
    </row>
    <row r="4" spans="1:38" ht="15" customHeight="1" x14ac:dyDescent="0.25">
      <c r="A4" s="1"/>
      <c r="B4" s="271" t="s">
        <v>415</v>
      </c>
      <c r="C4" s="272" t="s">
        <v>413</v>
      </c>
      <c r="D4" s="287">
        <v>100</v>
      </c>
      <c r="E4" s="287">
        <v>40</v>
      </c>
      <c r="F4" s="287">
        <v>40</v>
      </c>
      <c r="G4" s="204"/>
      <c r="H4" s="1"/>
      <c r="I4" s="503"/>
      <c r="J4" s="193"/>
      <c r="K4" s="1"/>
      <c r="L4" s="1"/>
      <c r="M4" s="1"/>
      <c r="N4" s="1"/>
      <c r="O4" s="1"/>
      <c r="P4" s="1"/>
      <c r="Q4" s="1"/>
      <c r="R4" s="1"/>
      <c r="S4" s="503"/>
      <c r="T4" s="193"/>
      <c r="U4" s="1"/>
      <c r="V4" s="1"/>
      <c r="W4" s="1"/>
      <c r="X4" s="1"/>
      <c r="Y4" s="1"/>
      <c r="Z4" s="1"/>
      <c r="AA4" s="1"/>
      <c r="AB4" s="1"/>
      <c r="AC4" s="1"/>
      <c r="AD4" s="1"/>
      <c r="AE4" s="1"/>
      <c r="AF4" s="1"/>
      <c r="AG4" s="1"/>
      <c r="AH4" s="1"/>
      <c r="AI4" s="1"/>
      <c r="AJ4" s="1"/>
      <c r="AK4" s="1"/>
      <c r="AL4" s="1"/>
    </row>
    <row r="5" spans="1:38" ht="15" customHeight="1" x14ac:dyDescent="0.25">
      <c r="A5" s="1"/>
      <c r="B5" s="273" t="s">
        <v>252</v>
      </c>
      <c r="C5" s="274" t="s">
        <v>245</v>
      </c>
      <c r="D5" s="288">
        <v>0</v>
      </c>
      <c r="E5" s="288">
        <v>35</v>
      </c>
      <c r="F5" s="288">
        <v>35</v>
      </c>
      <c r="G5" s="204"/>
      <c r="H5" s="1"/>
      <c r="I5" s="503"/>
      <c r="J5" s="472">
        <v>100</v>
      </c>
      <c r="K5" s="472">
        <v>50</v>
      </c>
      <c r="L5" s="472">
        <v>25</v>
      </c>
      <c r="M5" s="472">
        <v>20</v>
      </c>
      <c r="N5" s="473">
        <v>15</v>
      </c>
      <c r="O5" s="206">
        <v>10</v>
      </c>
      <c r="P5" s="206">
        <v>5</v>
      </c>
      <c r="Q5" s="206">
        <v>1</v>
      </c>
      <c r="R5" s="1"/>
      <c r="S5" s="503"/>
      <c r="T5" s="33">
        <v>100</v>
      </c>
      <c r="U5" s="33">
        <v>50</v>
      </c>
      <c r="V5" s="33">
        <v>25</v>
      </c>
      <c r="W5" s="33">
        <v>20</v>
      </c>
      <c r="X5" s="33">
        <v>15</v>
      </c>
      <c r="Y5" s="33">
        <v>10</v>
      </c>
      <c r="Z5" s="33">
        <v>5</v>
      </c>
      <c r="AA5" s="33">
        <v>1</v>
      </c>
      <c r="AB5" s="1"/>
      <c r="AC5" s="1"/>
      <c r="AD5" s="1"/>
      <c r="AE5" s="1"/>
      <c r="AF5" s="1"/>
      <c r="AG5" s="1"/>
      <c r="AH5" s="1"/>
      <c r="AI5" s="1"/>
      <c r="AJ5" s="1"/>
      <c r="AK5" s="1"/>
      <c r="AL5" s="1"/>
    </row>
    <row r="6" spans="1:38" ht="15" customHeight="1" x14ac:dyDescent="0.25">
      <c r="A6" s="1"/>
      <c r="B6" s="275" t="s">
        <v>259</v>
      </c>
      <c r="C6" s="276" t="s">
        <v>245</v>
      </c>
      <c r="D6" s="289">
        <v>0</v>
      </c>
      <c r="E6" s="289">
        <v>35</v>
      </c>
      <c r="F6" s="289">
        <v>35</v>
      </c>
      <c r="G6" s="204"/>
      <c r="H6" s="1"/>
      <c r="I6" s="504"/>
      <c r="J6" s="33">
        <v>100</v>
      </c>
      <c r="K6" s="33">
        <v>50</v>
      </c>
      <c r="L6" s="33">
        <v>25</v>
      </c>
      <c r="M6" s="33">
        <v>20</v>
      </c>
      <c r="N6" s="206"/>
      <c r="O6" s="206"/>
      <c r="P6" s="206"/>
      <c r="Q6" s="206"/>
      <c r="R6" s="1"/>
      <c r="S6" s="504"/>
      <c r="T6" s="33">
        <v>100</v>
      </c>
      <c r="U6" s="33">
        <v>50</v>
      </c>
      <c r="V6" s="33">
        <v>25</v>
      </c>
      <c r="W6" s="33">
        <v>20</v>
      </c>
      <c r="X6" s="350"/>
      <c r="Y6" s="350"/>
      <c r="Z6" s="350"/>
      <c r="AA6" s="350"/>
      <c r="AB6" s="1"/>
      <c r="AC6" s="1"/>
      <c r="AD6" s="1"/>
      <c r="AE6" s="1"/>
      <c r="AF6" s="1"/>
      <c r="AG6" s="1"/>
      <c r="AH6" s="1"/>
      <c r="AI6" s="1"/>
      <c r="AJ6" s="1"/>
      <c r="AK6" s="1"/>
      <c r="AL6" s="1"/>
    </row>
    <row r="7" spans="1:38" ht="0.75" customHeight="1" x14ac:dyDescent="0.25">
      <c r="A7" s="1"/>
      <c r="B7" s="467" t="s">
        <v>258</v>
      </c>
      <c r="C7" s="468" t="s">
        <v>55</v>
      </c>
      <c r="D7" s="469" t="s">
        <v>82</v>
      </c>
      <c r="E7" s="288" t="s">
        <v>82</v>
      </c>
      <c r="F7" s="288" t="s">
        <v>82</v>
      </c>
      <c r="G7" s="204"/>
      <c r="H7" s="1"/>
      <c r="I7" s="178" t="s">
        <v>21</v>
      </c>
      <c r="J7" s="29">
        <v>1.8</v>
      </c>
      <c r="K7" s="29">
        <v>1.93</v>
      </c>
      <c r="L7" s="29">
        <v>2.0699999999999998</v>
      </c>
      <c r="M7" s="29">
        <v>2.4</v>
      </c>
      <c r="N7" s="29">
        <v>2.8</v>
      </c>
      <c r="O7" s="29">
        <v>3.8</v>
      </c>
      <c r="P7" s="29">
        <v>5.3</v>
      </c>
      <c r="Q7" s="29">
        <v>7.11</v>
      </c>
      <c r="R7" s="1"/>
      <c r="S7" s="178" t="s">
        <v>21</v>
      </c>
      <c r="T7" s="29">
        <v>1.8</v>
      </c>
      <c r="U7" s="29">
        <v>1.93</v>
      </c>
      <c r="V7" s="29">
        <v>2.0699999999999998</v>
      </c>
      <c r="W7" s="29">
        <v>2.2000000000000002</v>
      </c>
      <c r="X7" s="29">
        <v>2.8</v>
      </c>
      <c r="Y7" s="29">
        <v>3.8</v>
      </c>
      <c r="Z7" s="29">
        <v>5.3</v>
      </c>
      <c r="AA7" s="29">
        <v>7.11</v>
      </c>
      <c r="AB7" s="1"/>
      <c r="AC7" s="1"/>
      <c r="AD7" s="1"/>
      <c r="AE7" s="1"/>
      <c r="AF7" s="1"/>
      <c r="AG7" s="1"/>
      <c r="AH7" s="1"/>
      <c r="AI7" s="1"/>
      <c r="AJ7" s="1"/>
      <c r="AK7" s="1"/>
      <c r="AL7" s="1"/>
    </row>
    <row r="8" spans="1:38" x14ac:dyDescent="0.25">
      <c r="A8" s="1"/>
      <c r="B8" s="277" t="s">
        <v>249</v>
      </c>
      <c r="C8" s="278" t="s">
        <v>245</v>
      </c>
      <c r="D8" s="290">
        <v>0</v>
      </c>
      <c r="E8" s="290">
        <v>25</v>
      </c>
      <c r="F8" s="290">
        <v>25</v>
      </c>
      <c r="G8" s="204"/>
      <c r="H8" s="1"/>
      <c r="I8" s="194" t="s">
        <v>233</v>
      </c>
      <c r="J8" s="434">
        <v>3.7320000000000002</v>
      </c>
      <c r="K8" s="434">
        <v>3.8</v>
      </c>
      <c r="L8" s="434">
        <v>3.94</v>
      </c>
      <c r="M8" s="434">
        <v>4.29</v>
      </c>
      <c r="N8" s="29">
        <v>4.63</v>
      </c>
      <c r="O8" s="29">
        <v>5.99</v>
      </c>
      <c r="P8" s="29">
        <v>8.0500000000000007</v>
      </c>
      <c r="Q8" s="29">
        <v>10.79</v>
      </c>
      <c r="R8" s="1"/>
      <c r="S8" s="194" t="s">
        <v>233</v>
      </c>
      <c r="T8" s="434">
        <v>3.7320000000000002</v>
      </c>
      <c r="U8" s="434">
        <v>3.8</v>
      </c>
      <c r="V8" s="434">
        <v>3.94</v>
      </c>
      <c r="W8" s="434">
        <v>4.29</v>
      </c>
      <c r="X8" s="29">
        <v>4.63</v>
      </c>
      <c r="Y8" s="29">
        <v>5.99</v>
      </c>
      <c r="Z8" s="29">
        <v>8.0500000000000007</v>
      </c>
      <c r="AA8" s="29">
        <v>10.79</v>
      </c>
      <c r="AB8" s="1"/>
      <c r="AC8" s="1"/>
      <c r="AD8" s="1"/>
      <c r="AE8" s="1"/>
      <c r="AF8" s="1"/>
      <c r="AG8" s="1"/>
      <c r="AH8" s="1"/>
      <c r="AI8" s="1"/>
      <c r="AJ8" s="1"/>
      <c r="AK8" s="1"/>
      <c r="AL8" s="1"/>
    </row>
    <row r="9" spans="1:38" x14ac:dyDescent="0.25">
      <c r="A9" s="1"/>
      <c r="B9" s="277" t="s">
        <v>264</v>
      </c>
      <c r="C9" s="278" t="s">
        <v>226</v>
      </c>
      <c r="D9" s="290">
        <v>8</v>
      </c>
      <c r="E9" s="290">
        <v>8</v>
      </c>
      <c r="F9" s="290">
        <v>8</v>
      </c>
      <c r="G9" s="204"/>
      <c r="H9" s="1"/>
      <c r="I9" s="194" t="s">
        <v>227</v>
      </c>
      <c r="J9" s="29">
        <v>4.3499999999999996</v>
      </c>
      <c r="K9" s="29">
        <v>4.58</v>
      </c>
      <c r="L9" s="29">
        <v>4.92</v>
      </c>
      <c r="M9" s="29">
        <v>5.05</v>
      </c>
      <c r="N9" s="29">
        <v>6.52</v>
      </c>
      <c r="O9" s="29">
        <v>8.2889999999999997</v>
      </c>
      <c r="P9" s="29">
        <v>10.938000000000001</v>
      </c>
      <c r="Q9" s="29">
        <v>14.47</v>
      </c>
      <c r="R9" s="1"/>
      <c r="S9" s="194" t="s">
        <v>227</v>
      </c>
      <c r="T9" s="29">
        <v>5.3350518723994442</v>
      </c>
      <c r="U9" s="29">
        <v>5.44</v>
      </c>
      <c r="V9" s="29">
        <v>5.64</v>
      </c>
      <c r="W9" s="29">
        <v>6.0810000000000004</v>
      </c>
      <c r="X9" s="29">
        <v>6.52</v>
      </c>
      <c r="Y9" s="29">
        <v>8.2889999999999997</v>
      </c>
      <c r="Z9" s="29">
        <v>10.938000000000001</v>
      </c>
      <c r="AA9" s="29">
        <v>14.47</v>
      </c>
      <c r="AB9" s="1"/>
      <c r="AC9" s="1"/>
      <c r="AD9" s="1"/>
      <c r="AE9" s="1"/>
      <c r="AF9" s="1"/>
      <c r="AG9" s="1"/>
      <c r="AH9" s="1"/>
      <c r="AI9" s="1"/>
      <c r="AJ9" s="1"/>
      <c r="AK9" s="1"/>
      <c r="AL9" s="1"/>
    </row>
    <row r="10" spans="1:38" x14ac:dyDescent="0.25">
      <c r="A10" s="1"/>
      <c r="B10" s="279" t="s">
        <v>250</v>
      </c>
      <c r="C10" s="280" t="s">
        <v>245</v>
      </c>
      <c r="D10" s="291">
        <v>0</v>
      </c>
      <c r="E10" s="291">
        <v>10</v>
      </c>
      <c r="F10" s="291">
        <v>10</v>
      </c>
      <c r="G10" s="204"/>
      <c r="H10" s="1"/>
      <c r="I10" s="194" t="s">
        <v>228</v>
      </c>
      <c r="J10" s="434">
        <f>J7+1.75</f>
        <v>3.55</v>
      </c>
      <c r="K10" s="434">
        <f t="shared" ref="K10:L10" si="0">K7+1.75</f>
        <v>3.6799999999999997</v>
      </c>
      <c r="L10" s="434">
        <f t="shared" si="0"/>
        <v>3.82</v>
      </c>
      <c r="M10" s="434">
        <v>4.3499999999999996</v>
      </c>
      <c r="N10" s="29">
        <v>4.88</v>
      </c>
      <c r="O10" s="29">
        <v>7.02</v>
      </c>
      <c r="P10" s="29">
        <v>10.210000000000001</v>
      </c>
      <c r="Q10" s="29">
        <f>Q7+7.36</f>
        <v>14.47</v>
      </c>
      <c r="R10" s="1"/>
      <c r="S10" s="194" t="s">
        <v>228</v>
      </c>
      <c r="T10" s="434">
        <v>3.7320000000000002</v>
      </c>
      <c r="U10" s="434">
        <v>3.8</v>
      </c>
      <c r="V10" s="434">
        <v>3.94</v>
      </c>
      <c r="W10" s="434">
        <v>4.29</v>
      </c>
      <c r="X10" s="29">
        <v>4.88</v>
      </c>
      <c r="Y10" s="29">
        <v>7.02</v>
      </c>
      <c r="Z10" s="29">
        <v>10.210000000000001</v>
      </c>
      <c r="AA10" s="29">
        <f>AA7+7.36</f>
        <v>14.47</v>
      </c>
      <c r="AB10" s="1"/>
      <c r="AC10" s="1"/>
      <c r="AD10" s="1"/>
      <c r="AE10" s="1"/>
      <c r="AF10" s="1"/>
      <c r="AG10" s="1"/>
      <c r="AH10" s="1"/>
      <c r="AI10" s="1"/>
      <c r="AJ10" s="1"/>
      <c r="AK10" s="1"/>
      <c r="AL10" s="1"/>
    </row>
    <row r="11" spans="1:38" x14ac:dyDescent="0.25">
      <c r="A11" s="1"/>
      <c r="B11" s="279" t="s">
        <v>263</v>
      </c>
      <c r="C11" s="280" t="s">
        <v>226</v>
      </c>
      <c r="D11" s="291">
        <v>16</v>
      </c>
      <c r="E11" s="291">
        <v>16</v>
      </c>
      <c r="F11" s="291">
        <v>16</v>
      </c>
      <c r="G11" s="204"/>
      <c r="H11" s="1"/>
      <c r="I11" s="195" t="s">
        <v>223</v>
      </c>
      <c r="J11" s="203">
        <v>3.34</v>
      </c>
      <c r="K11" s="203">
        <v>3.42</v>
      </c>
      <c r="L11" s="203">
        <v>3.52</v>
      </c>
      <c r="M11" s="203">
        <v>3.55</v>
      </c>
      <c r="N11" s="203">
        <v>3.7759999999999989</v>
      </c>
      <c r="O11" s="203">
        <v>5.2679999999999998</v>
      </c>
      <c r="P11" s="203">
        <v>7.5060000000000002</v>
      </c>
      <c r="Q11" s="198">
        <v>10.493</v>
      </c>
      <c r="R11" s="1"/>
      <c r="S11" s="195" t="s">
        <v>223</v>
      </c>
      <c r="T11" s="198">
        <v>5.18</v>
      </c>
      <c r="U11" s="198">
        <v>5.31</v>
      </c>
      <c r="V11" s="198">
        <v>5.45</v>
      </c>
      <c r="W11" s="198">
        <v>5.7</v>
      </c>
      <c r="X11" s="198">
        <v>5.95</v>
      </c>
      <c r="Y11" s="198">
        <v>6.96</v>
      </c>
      <c r="Z11" s="198">
        <v>8.4700000000000006</v>
      </c>
      <c r="AA11" s="198">
        <v>10.493</v>
      </c>
      <c r="AB11" s="1"/>
      <c r="AC11" s="1"/>
      <c r="AD11" s="1"/>
      <c r="AE11" s="1"/>
      <c r="AF11" s="1"/>
      <c r="AG11" s="1"/>
      <c r="AH11" s="1"/>
      <c r="AI11" s="1"/>
      <c r="AJ11" s="1"/>
      <c r="AK11" s="1"/>
      <c r="AL11" s="1"/>
    </row>
    <row r="12" spans="1:38" x14ac:dyDescent="0.25">
      <c r="A12" s="1"/>
      <c r="B12" s="281" t="s">
        <v>251</v>
      </c>
      <c r="C12" s="282" t="s">
        <v>245</v>
      </c>
      <c r="D12" s="292">
        <v>0</v>
      </c>
      <c r="E12" s="292">
        <v>10</v>
      </c>
      <c r="F12" s="292">
        <v>10</v>
      </c>
      <c r="G12" s="204"/>
      <c r="H12" s="1"/>
      <c r="I12" s="195" t="s">
        <v>229</v>
      </c>
      <c r="J12" s="198">
        <v>6.46</v>
      </c>
      <c r="K12" s="198">
        <v>6.74</v>
      </c>
      <c r="L12" s="198">
        <v>7.12</v>
      </c>
      <c r="M12" s="198">
        <v>7.25</v>
      </c>
      <c r="N12" s="203">
        <v>7.5359999999999996</v>
      </c>
      <c r="O12" s="203">
        <v>9.8280000000000012</v>
      </c>
      <c r="P12" s="203">
        <v>13.266000000000002</v>
      </c>
      <c r="Q12" s="198">
        <v>17.849999999999998</v>
      </c>
      <c r="R12" s="1"/>
      <c r="S12" s="195" t="s">
        <v>229</v>
      </c>
      <c r="T12" s="198">
        <v>8.31</v>
      </c>
      <c r="U12" s="198">
        <v>8.33</v>
      </c>
      <c r="V12" s="198">
        <v>8.36</v>
      </c>
      <c r="W12" s="198">
        <v>8.83</v>
      </c>
      <c r="X12" s="198">
        <v>9.31</v>
      </c>
      <c r="Y12" s="198">
        <v>11.21</v>
      </c>
      <c r="Z12" s="198">
        <v>14.05</v>
      </c>
      <c r="AA12" s="198">
        <v>17.849999999999998</v>
      </c>
      <c r="AB12" s="1"/>
      <c r="AC12" s="1"/>
      <c r="AD12" s="1"/>
      <c r="AE12" s="1"/>
      <c r="AF12" s="1"/>
      <c r="AG12" s="1"/>
      <c r="AH12" s="1"/>
      <c r="AI12" s="1"/>
      <c r="AJ12" s="1"/>
      <c r="AK12" s="1"/>
      <c r="AL12" s="1"/>
    </row>
    <row r="13" spans="1:38" x14ac:dyDescent="0.25">
      <c r="A13" s="1"/>
      <c r="B13" s="281" t="s">
        <v>265</v>
      </c>
      <c r="C13" s="282" t="s">
        <v>226</v>
      </c>
      <c r="D13" s="292">
        <v>5</v>
      </c>
      <c r="E13" s="292">
        <v>5</v>
      </c>
      <c r="F13" s="292">
        <v>5</v>
      </c>
      <c r="G13" s="204"/>
      <c r="H13" s="1"/>
      <c r="I13" s="195" t="s">
        <v>232</v>
      </c>
      <c r="J13" s="434">
        <f>J11+1.75</f>
        <v>5.09</v>
      </c>
      <c r="K13" s="434">
        <f t="shared" ref="K13:L13" si="1">K11+1.75</f>
        <v>5.17</v>
      </c>
      <c r="L13" s="434">
        <f t="shared" si="1"/>
        <v>5.27</v>
      </c>
      <c r="M13" s="434">
        <v>5.4335000000000022</v>
      </c>
      <c r="N13" s="203">
        <v>6.0870000000000015</v>
      </c>
      <c r="O13" s="203">
        <v>8.7010000000000023</v>
      </c>
      <c r="P13" s="203">
        <v>12.622</v>
      </c>
      <c r="Q13" s="198">
        <v>17.849999999999998</v>
      </c>
      <c r="R13" s="1"/>
      <c r="S13" s="195" t="s">
        <v>232</v>
      </c>
      <c r="T13" s="434">
        <v>3.7320000000000002</v>
      </c>
      <c r="U13" s="434">
        <v>3.8</v>
      </c>
      <c r="V13" s="434">
        <v>3.94</v>
      </c>
      <c r="W13" s="434">
        <v>4.29</v>
      </c>
      <c r="X13" s="198">
        <v>8.27</v>
      </c>
      <c r="Y13" s="198">
        <v>10.39</v>
      </c>
      <c r="Z13" s="198">
        <v>13.59</v>
      </c>
      <c r="AA13" s="198">
        <v>17.849999999999998</v>
      </c>
      <c r="AB13" s="1"/>
      <c r="AC13" s="1"/>
      <c r="AD13" s="1"/>
      <c r="AE13" s="1"/>
      <c r="AF13" s="1"/>
      <c r="AG13" s="1"/>
      <c r="AH13" s="1"/>
      <c r="AI13" s="1"/>
      <c r="AJ13" s="1"/>
      <c r="AK13" s="1"/>
      <c r="AL13" s="1"/>
    </row>
    <row r="14" spans="1:38" x14ac:dyDescent="0.25">
      <c r="A14" s="1"/>
      <c r="B14" s="464" t="s">
        <v>246</v>
      </c>
      <c r="C14" s="465" t="s">
        <v>245</v>
      </c>
      <c r="D14" s="466">
        <v>0</v>
      </c>
      <c r="E14" s="462">
        <v>0</v>
      </c>
      <c r="F14" s="293">
        <v>0</v>
      </c>
      <c r="G14" s="204"/>
      <c r="H14" s="1"/>
      <c r="I14" s="196" t="s">
        <v>224</v>
      </c>
      <c r="J14" s="203">
        <v>4.42</v>
      </c>
      <c r="K14" s="203">
        <v>4.5199999999999996</v>
      </c>
      <c r="L14" s="203">
        <v>4.6399999999999997</v>
      </c>
      <c r="M14" s="203">
        <v>4.7</v>
      </c>
      <c r="N14" s="203">
        <v>5.0380000000000003</v>
      </c>
      <c r="O14" s="203">
        <v>6.9540000000000006</v>
      </c>
      <c r="P14" s="203">
        <v>9.8279999999999994</v>
      </c>
      <c r="Q14" s="198">
        <v>13.663</v>
      </c>
      <c r="R14" s="1"/>
      <c r="S14" s="196" t="s">
        <v>224</v>
      </c>
      <c r="T14" s="198">
        <v>8.35</v>
      </c>
      <c r="U14" s="198">
        <v>8.48</v>
      </c>
      <c r="V14" s="198">
        <v>8.6199999999999992</v>
      </c>
      <c r="W14" s="198">
        <v>8.8699999999999992</v>
      </c>
      <c r="X14" s="198">
        <v>9.1199999999999992</v>
      </c>
      <c r="Y14" s="198">
        <v>10.130000000000001</v>
      </c>
      <c r="Z14" s="198">
        <v>11.64</v>
      </c>
      <c r="AA14" s="198">
        <v>13.663</v>
      </c>
      <c r="AB14" s="1"/>
      <c r="AC14" s="1"/>
      <c r="AD14" s="1"/>
      <c r="AE14" s="1"/>
      <c r="AF14" s="1"/>
      <c r="AG14" s="1"/>
      <c r="AH14" s="1"/>
      <c r="AI14" s="1"/>
      <c r="AJ14" s="1"/>
      <c r="AK14" s="1"/>
      <c r="AL14" s="1"/>
    </row>
    <row r="15" spans="1:38" x14ac:dyDescent="0.25">
      <c r="A15" s="1"/>
      <c r="B15" s="464" t="s">
        <v>266</v>
      </c>
      <c r="C15" s="465" t="s">
        <v>226</v>
      </c>
      <c r="D15" s="466">
        <v>8</v>
      </c>
      <c r="E15" s="463">
        <v>8</v>
      </c>
      <c r="F15" s="294">
        <v>8</v>
      </c>
      <c r="G15" s="204"/>
      <c r="H15" s="1"/>
      <c r="I15" s="196" t="s">
        <v>230</v>
      </c>
      <c r="J15" s="198">
        <v>7.54</v>
      </c>
      <c r="K15" s="198">
        <v>7.84</v>
      </c>
      <c r="L15" s="198">
        <v>8.24</v>
      </c>
      <c r="M15" s="198">
        <v>8.7365000000000013</v>
      </c>
      <c r="N15" s="203">
        <v>9.3829999999999991</v>
      </c>
      <c r="O15" s="203">
        <v>11.969000000000001</v>
      </c>
      <c r="P15" s="203">
        <v>15.847999999999999</v>
      </c>
      <c r="Q15" s="198">
        <v>21.02</v>
      </c>
      <c r="R15" s="1"/>
      <c r="S15" s="196" t="s">
        <v>230</v>
      </c>
      <c r="T15" s="199">
        <v>11.43</v>
      </c>
      <c r="U15" s="199">
        <v>11.45</v>
      </c>
      <c r="V15" s="199">
        <v>11.57</v>
      </c>
      <c r="W15" s="199">
        <v>12.04</v>
      </c>
      <c r="X15" s="199">
        <v>12.52</v>
      </c>
      <c r="Y15" s="199">
        <v>14.41</v>
      </c>
      <c r="Z15" s="199">
        <v>17.239999999999998</v>
      </c>
      <c r="AA15" s="199">
        <v>21.02</v>
      </c>
      <c r="AB15" s="1"/>
      <c r="AC15" s="1"/>
      <c r="AD15" s="1"/>
      <c r="AE15" s="1"/>
      <c r="AF15" s="1"/>
      <c r="AG15" s="1"/>
      <c r="AH15" s="1"/>
      <c r="AI15" s="1"/>
      <c r="AJ15" s="1"/>
      <c r="AK15" s="1"/>
      <c r="AL15" s="1"/>
    </row>
    <row r="16" spans="1:38" x14ac:dyDescent="0.25">
      <c r="A16" s="1"/>
      <c r="B16" s="464" t="s">
        <v>262</v>
      </c>
      <c r="C16" s="201"/>
      <c r="D16" s="260" t="s">
        <v>297</v>
      </c>
      <c r="E16" s="463">
        <v>0</v>
      </c>
      <c r="F16" s="294">
        <v>0</v>
      </c>
      <c r="G16" s="204"/>
      <c r="H16" s="1"/>
      <c r="I16" s="196" t="s">
        <v>231</v>
      </c>
      <c r="J16" s="434">
        <f>J14+1.75</f>
        <v>6.17</v>
      </c>
      <c r="K16" s="434">
        <f t="shared" ref="K16:L16" si="2">K14+1.75</f>
        <v>6.27</v>
      </c>
      <c r="L16" s="434">
        <f t="shared" si="2"/>
        <v>6.39</v>
      </c>
      <c r="M16" s="434">
        <v>6.589500000000001</v>
      </c>
      <c r="N16" s="203">
        <v>7.3490000000000002</v>
      </c>
      <c r="O16" s="203">
        <v>10.387</v>
      </c>
      <c r="P16" s="203">
        <v>14.943999999999999</v>
      </c>
      <c r="Q16" s="198">
        <v>21.02</v>
      </c>
      <c r="R16" s="1"/>
      <c r="S16" s="196" t="s">
        <v>231</v>
      </c>
      <c r="T16" s="434">
        <v>3.7320000000000002</v>
      </c>
      <c r="U16" s="434">
        <v>3.8</v>
      </c>
      <c r="V16" s="434">
        <v>3.94</v>
      </c>
      <c r="W16" s="434">
        <v>4.29</v>
      </c>
      <c r="X16" s="198">
        <v>11.44</v>
      </c>
      <c r="Y16" s="198">
        <v>13.57</v>
      </c>
      <c r="Z16" s="198">
        <v>16.760000000000002</v>
      </c>
      <c r="AA16" s="198">
        <v>21.02</v>
      </c>
      <c r="AB16" s="1"/>
      <c r="AC16" s="1"/>
      <c r="AD16" s="1"/>
      <c r="AE16" s="1"/>
      <c r="AF16" s="1"/>
      <c r="AG16" s="1"/>
      <c r="AH16" s="1"/>
      <c r="AI16" s="1"/>
      <c r="AJ16" s="1"/>
      <c r="AK16" s="1"/>
      <c r="AL16" s="1"/>
    </row>
    <row r="17" spans="1:38" x14ac:dyDescent="0.25">
      <c r="A17" s="1"/>
      <c r="B17" s="205" t="s">
        <v>247</v>
      </c>
      <c r="C17" s="284" t="s">
        <v>253</v>
      </c>
      <c r="D17" s="258">
        <f>C56</f>
        <v>1.8</v>
      </c>
      <c r="E17" s="23"/>
      <c r="F17" s="204"/>
      <c r="G17" s="204"/>
      <c r="H17" s="1"/>
      <c r="I17" s="197" t="s">
        <v>225</v>
      </c>
      <c r="J17" s="203">
        <v>7.3</v>
      </c>
      <c r="K17" s="203">
        <v>7.46</v>
      </c>
      <c r="L17" s="203">
        <v>7.68</v>
      </c>
      <c r="M17" s="203">
        <v>7.75</v>
      </c>
      <c r="N17" s="203">
        <v>7.657</v>
      </c>
      <c r="O17" s="203">
        <v>10.451000000000001</v>
      </c>
      <c r="P17" s="203">
        <v>14.641999999999999</v>
      </c>
      <c r="Q17" s="198">
        <v>20.233000000000001</v>
      </c>
      <c r="R17" s="1"/>
      <c r="S17" s="197" t="s">
        <v>225</v>
      </c>
      <c r="T17" s="198">
        <v>14.92</v>
      </c>
      <c r="U17" s="198">
        <v>15.05</v>
      </c>
      <c r="V17" s="198">
        <v>15.19</v>
      </c>
      <c r="W17" s="198">
        <v>15.44</v>
      </c>
      <c r="X17" s="198">
        <v>15.69</v>
      </c>
      <c r="Y17" s="198">
        <v>16.7</v>
      </c>
      <c r="Z17" s="198">
        <v>18.21</v>
      </c>
      <c r="AA17" s="198">
        <v>20.233000000000001</v>
      </c>
      <c r="AB17" s="1"/>
      <c r="AC17" s="1"/>
      <c r="AD17" s="1"/>
      <c r="AE17" s="1"/>
      <c r="AF17" s="1"/>
      <c r="AG17" s="1"/>
      <c r="AH17" s="1"/>
      <c r="AI17" s="1"/>
      <c r="AJ17" s="1"/>
      <c r="AK17" s="1"/>
      <c r="AL17" s="1"/>
    </row>
    <row r="18" spans="1:38" x14ac:dyDescent="0.25">
      <c r="A18" s="1"/>
      <c r="B18" s="1"/>
      <c r="C18" s="285" t="s">
        <v>256</v>
      </c>
      <c r="D18" s="258">
        <f>C55</f>
        <v>180</v>
      </c>
      <c r="E18" s="204"/>
      <c r="F18" s="204"/>
      <c r="G18" s="204"/>
      <c r="H18" s="1"/>
      <c r="I18" s="197" t="s">
        <v>234</v>
      </c>
      <c r="J18" s="198">
        <v>10.42</v>
      </c>
      <c r="K18" s="198">
        <v>10.78</v>
      </c>
      <c r="L18" s="198">
        <v>11.28</v>
      </c>
      <c r="M18" s="198">
        <v>11.45</v>
      </c>
      <c r="N18" s="203">
        <v>12.164</v>
      </c>
      <c r="O18" s="203">
        <v>15.592000000000001</v>
      </c>
      <c r="P18" s="203">
        <v>20.733999999999998</v>
      </c>
      <c r="Q18" s="198">
        <v>27.59</v>
      </c>
      <c r="R18" s="1"/>
      <c r="S18" s="197" t="s">
        <v>234</v>
      </c>
      <c r="T18" s="198">
        <f>T17+3</f>
        <v>17.920000000000002</v>
      </c>
      <c r="U18" s="198">
        <f t="shared" ref="U18:V18" si="3">U17+3</f>
        <v>18.05</v>
      </c>
      <c r="V18" s="198">
        <f t="shared" si="3"/>
        <v>18.189999999999998</v>
      </c>
      <c r="W18" s="198">
        <v>18.66</v>
      </c>
      <c r="X18" s="198">
        <v>19.13</v>
      </c>
      <c r="Y18" s="198">
        <v>21.01</v>
      </c>
      <c r="Z18" s="198">
        <v>23.83</v>
      </c>
      <c r="AA18" s="198">
        <v>27.59</v>
      </c>
      <c r="AB18" s="1"/>
      <c r="AC18" s="1"/>
      <c r="AD18" s="1"/>
      <c r="AE18" s="1"/>
      <c r="AF18" s="1"/>
      <c r="AG18" s="1"/>
      <c r="AH18" s="1"/>
      <c r="AI18" s="1"/>
      <c r="AJ18" s="1"/>
      <c r="AK18" s="1"/>
      <c r="AL18" s="1"/>
    </row>
    <row r="19" spans="1:38" x14ac:dyDescent="0.25">
      <c r="A19" s="1"/>
      <c r="B19" s="1"/>
      <c r="C19" s="286" t="s">
        <v>254</v>
      </c>
      <c r="D19" s="259">
        <f>D56</f>
        <v>1.8</v>
      </c>
      <c r="E19" s="204"/>
      <c r="F19" s="204"/>
      <c r="G19" s="204"/>
      <c r="H19" s="1"/>
      <c r="I19" s="197" t="s">
        <v>235</v>
      </c>
      <c r="J19" s="434">
        <f>J17+1.75</f>
        <v>9.0500000000000007</v>
      </c>
      <c r="K19" s="434">
        <f t="shared" ref="K19:L19" si="4">K17+1.75</f>
        <v>9.2100000000000009</v>
      </c>
      <c r="L19" s="434">
        <f t="shared" si="4"/>
        <v>9.43</v>
      </c>
      <c r="M19" s="434">
        <v>8.9890000000000008</v>
      </c>
      <c r="N19" s="203">
        <v>9.968</v>
      </c>
      <c r="O19" s="203">
        <v>13.884000000000002</v>
      </c>
      <c r="P19" s="203">
        <v>19.757999999999999</v>
      </c>
      <c r="Q19" s="198">
        <v>27.59</v>
      </c>
      <c r="R19" s="1"/>
      <c r="S19" s="197" t="s">
        <v>235</v>
      </c>
      <c r="T19" s="434">
        <v>3.7320000000000002</v>
      </c>
      <c r="U19" s="434">
        <v>3.8</v>
      </c>
      <c r="V19" s="434">
        <v>3.94</v>
      </c>
      <c r="W19" s="434">
        <v>4.29</v>
      </c>
      <c r="X19" s="198">
        <v>18.010000000000002</v>
      </c>
      <c r="Y19" s="198">
        <v>20.14</v>
      </c>
      <c r="Z19" s="198">
        <v>23.33</v>
      </c>
      <c r="AA19" s="198">
        <v>27.59</v>
      </c>
      <c r="AB19" s="1"/>
      <c r="AC19" s="1"/>
      <c r="AD19" s="1"/>
      <c r="AE19" s="1"/>
      <c r="AF19" s="1"/>
      <c r="AG19" s="1"/>
      <c r="AH19" s="1"/>
      <c r="AI19" s="1"/>
      <c r="AJ19" s="1"/>
      <c r="AK19" s="1"/>
      <c r="AL19" s="1"/>
    </row>
    <row r="20" spans="1:38" x14ac:dyDescent="0.25">
      <c r="A20" s="1"/>
      <c r="C20" s="286" t="s">
        <v>255</v>
      </c>
      <c r="D20" s="259">
        <f>D55</f>
        <v>180</v>
      </c>
      <c r="E20" s="204"/>
      <c r="F20" s="204"/>
      <c r="G20" s="20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ht="15" customHeight="1" x14ac:dyDescent="0.25">
      <c r="A21" s="1"/>
      <c r="B21" s="1"/>
      <c r="C21" s="1"/>
      <c r="D21" s="1"/>
      <c r="E21" s="204"/>
      <c r="F21" s="204"/>
      <c r="G21" s="204"/>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ht="15" customHeight="1" x14ac:dyDescent="0.25">
      <c r="A22" s="1"/>
      <c r="B22" s="1"/>
      <c r="C22" s="1"/>
      <c r="D22" s="1"/>
      <c r="E22" s="204"/>
      <c r="F22" s="204"/>
      <c r="G22" s="204"/>
      <c r="H22" s="1"/>
      <c r="I22" s="1"/>
      <c r="J22" s="1"/>
      <c r="K22" s="23">
        <v>51</v>
      </c>
      <c r="L22" s="1"/>
      <c r="M22" s="1"/>
      <c r="N22" s="1"/>
      <c r="O22" s="1"/>
      <c r="P22" s="1"/>
      <c r="Q22" s="1"/>
      <c r="R22" s="1"/>
      <c r="S22" s="497" t="s">
        <v>268</v>
      </c>
      <c r="T22" s="1"/>
      <c r="U22" s="23">
        <v>51</v>
      </c>
      <c r="V22" s="1"/>
      <c r="W22" s="1"/>
      <c r="X22" s="1"/>
      <c r="Y22" s="1"/>
      <c r="Z22" s="1"/>
      <c r="AA22" s="1"/>
      <c r="AB22" s="1"/>
      <c r="AC22" s="1"/>
      <c r="AD22" s="1"/>
      <c r="AE22" s="1"/>
      <c r="AF22" s="1"/>
      <c r="AG22" s="1"/>
      <c r="AH22" s="1"/>
      <c r="AI22" s="1"/>
      <c r="AJ22" s="1"/>
      <c r="AK22" s="1"/>
      <c r="AL22" s="1"/>
    </row>
    <row r="23" spans="1:38" ht="15" customHeight="1" x14ac:dyDescent="0.25">
      <c r="A23" s="1"/>
      <c r="C23" s="1"/>
      <c r="D23" s="1"/>
      <c r="E23" s="204"/>
      <c r="F23" s="204"/>
      <c r="G23" s="204"/>
      <c r="H23" s="1"/>
      <c r="I23" s="501" t="s">
        <v>261</v>
      </c>
      <c r="J23" s="1"/>
      <c r="K23" s="1"/>
      <c r="L23" s="1"/>
      <c r="M23" s="1"/>
      <c r="N23" s="1"/>
      <c r="O23" s="1"/>
      <c r="P23" s="1"/>
      <c r="Q23" s="1"/>
      <c r="R23" s="1"/>
      <c r="S23" s="498"/>
      <c r="T23" s="193"/>
      <c r="U23" s="1"/>
      <c r="V23" s="1"/>
      <c r="W23" s="1"/>
      <c r="X23" s="1"/>
      <c r="Y23" s="1"/>
      <c r="Z23" s="1"/>
      <c r="AA23" s="1"/>
      <c r="AB23" s="1"/>
      <c r="AC23" s="1"/>
      <c r="AD23" s="1"/>
      <c r="AE23" s="1"/>
      <c r="AF23" s="1"/>
      <c r="AG23" s="1"/>
      <c r="AH23" s="1"/>
      <c r="AI23" s="1"/>
      <c r="AJ23" s="1"/>
      <c r="AK23" s="1"/>
      <c r="AL23" s="1"/>
    </row>
    <row r="24" spans="1:38" ht="15" customHeight="1" x14ac:dyDescent="0.25">
      <c r="A24" s="1"/>
      <c r="B24" s="1"/>
      <c r="C24" s="201"/>
      <c r="D24" s="201"/>
      <c r="E24" s="204"/>
      <c r="F24" s="204"/>
      <c r="G24" s="204"/>
      <c r="H24" s="1"/>
      <c r="I24" s="502"/>
      <c r="J24" s="33">
        <v>100</v>
      </c>
      <c r="K24" s="33">
        <v>50</v>
      </c>
      <c r="L24" s="33">
        <v>25</v>
      </c>
      <c r="M24" s="33">
        <v>20</v>
      </c>
      <c r="N24" s="206">
        <v>15</v>
      </c>
      <c r="O24" s="206">
        <v>10</v>
      </c>
      <c r="P24" s="206">
        <v>5</v>
      </c>
      <c r="Q24" s="206">
        <v>1</v>
      </c>
      <c r="R24" s="1"/>
      <c r="S24" s="499"/>
      <c r="T24" s="33">
        <v>100</v>
      </c>
      <c r="U24" s="33">
        <v>50</v>
      </c>
      <c r="V24" s="33">
        <v>25</v>
      </c>
      <c r="W24" s="33">
        <v>20</v>
      </c>
      <c r="X24" s="33">
        <v>15</v>
      </c>
      <c r="Y24" s="33">
        <v>10</v>
      </c>
      <c r="Z24" s="33">
        <v>5</v>
      </c>
      <c r="AA24" s="33">
        <v>1</v>
      </c>
      <c r="AB24" s="1"/>
      <c r="AC24" s="1"/>
      <c r="AD24" s="1"/>
      <c r="AE24" s="1"/>
      <c r="AF24" s="1"/>
      <c r="AG24" s="1"/>
      <c r="AH24" s="1"/>
      <c r="AI24" s="1"/>
      <c r="AJ24" s="1"/>
      <c r="AK24" s="1"/>
      <c r="AL24" s="1"/>
    </row>
    <row r="25" spans="1:38" ht="15" customHeight="1" x14ac:dyDescent="0.25">
      <c r="A25" s="1"/>
      <c r="B25" s="1"/>
      <c r="C25" s="1"/>
      <c r="D25" s="1"/>
      <c r="E25" s="1"/>
      <c r="F25" s="1"/>
      <c r="G25" s="1"/>
      <c r="H25" s="1"/>
      <c r="I25" s="178" t="s">
        <v>21</v>
      </c>
      <c r="J25" s="29">
        <v>1.8</v>
      </c>
      <c r="K25" s="29">
        <v>1.93</v>
      </c>
      <c r="L25" s="29">
        <v>2.0699999999999998</v>
      </c>
      <c r="M25" s="29">
        <v>2.4</v>
      </c>
      <c r="N25" s="29">
        <v>2.8</v>
      </c>
      <c r="O25" s="29">
        <v>3.8</v>
      </c>
      <c r="P25" s="29">
        <v>5.3</v>
      </c>
      <c r="Q25" s="29">
        <v>7.11</v>
      </c>
      <c r="R25" s="1"/>
      <c r="S25" s="178" t="s">
        <v>21</v>
      </c>
      <c r="T25" s="29">
        <v>1.8</v>
      </c>
      <c r="U25" s="29">
        <v>1.93</v>
      </c>
      <c r="V25" s="29">
        <v>2.0699999999999998</v>
      </c>
      <c r="W25" s="29">
        <v>2.2000000000000002</v>
      </c>
      <c r="X25" s="29">
        <v>2.8</v>
      </c>
      <c r="Y25" s="29">
        <v>3.8</v>
      </c>
      <c r="Z25" s="29">
        <v>5.3</v>
      </c>
      <c r="AA25" s="29">
        <v>7.11</v>
      </c>
      <c r="AB25" s="1"/>
      <c r="AC25" s="1"/>
      <c r="AD25" s="1"/>
      <c r="AE25" s="1"/>
      <c r="AF25" s="1"/>
      <c r="AG25" s="1"/>
      <c r="AH25" s="1"/>
      <c r="AI25" s="1"/>
      <c r="AJ25" s="1"/>
      <c r="AK25" s="1"/>
      <c r="AL25" s="1"/>
    </row>
    <row r="26" spans="1:38" ht="15" customHeight="1" x14ac:dyDescent="0.25">
      <c r="A26" s="1"/>
      <c r="B26" s="1"/>
      <c r="C26" s="1"/>
      <c r="D26" s="1"/>
      <c r="E26" s="1"/>
      <c r="F26" s="1"/>
      <c r="G26" s="1"/>
      <c r="H26" s="1"/>
      <c r="I26" s="194" t="s">
        <v>233</v>
      </c>
      <c r="J26" s="434">
        <v>3.7320000000000002</v>
      </c>
      <c r="K26" s="434">
        <v>3.8</v>
      </c>
      <c r="L26" s="434">
        <v>3.94</v>
      </c>
      <c r="M26" s="434">
        <v>4.29</v>
      </c>
      <c r="N26" s="29">
        <v>4.63</v>
      </c>
      <c r="O26" s="29">
        <v>5.99</v>
      </c>
      <c r="P26" s="29">
        <v>8.0500000000000007</v>
      </c>
      <c r="Q26" s="29">
        <v>10.79</v>
      </c>
      <c r="R26" s="1"/>
      <c r="S26" s="194" t="s">
        <v>233</v>
      </c>
      <c r="T26" s="434">
        <v>3.7320000000000002</v>
      </c>
      <c r="U26" s="434">
        <v>3.8</v>
      </c>
      <c r="V26" s="434">
        <v>3.94</v>
      </c>
      <c r="W26" s="434">
        <v>4.29</v>
      </c>
      <c r="X26" s="29">
        <v>4.63</v>
      </c>
      <c r="Y26" s="29">
        <v>5.99</v>
      </c>
      <c r="Z26" s="29">
        <v>8.0500000000000007</v>
      </c>
      <c r="AA26" s="29">
        <v>10.79</v>
      </c>
      <c r="AB26" s="1"/>
      <c r="AC26" s="1"/>
      <c r="AD26" s="1"/>
      <c r="AE26" s="1"/>
      <c r="AF26" s="1"/>
      <c r="AG26" s="1"/>
      <c r="AH26" s="1"/>
      <c r="AI26" s="1"/>
      <c r="AJ26" s="1"/>
      <c r="AK26" s="1"/>
      <c r="AL26" s="1"/>
    </row>
    <row r="27" spans="1:38" ht="15" customHeight="1" thickBot="1" x14ac:dyDescent="0.3">
      <c r="A27" s="1"/>
      <c r="B27" s="1"/>
      <c r="C27" s="1"/>
      <c r="D27" s="1"/>
      <c r="E27" s="1"/>
      <c r="F27" s="1"/>
      <c r="G27" s="1"/>
      <c r="H27" s="1"/>
      <c r="I27" s="194" t="s">
        <v>227</v>
      </c>
      <c r="J27" s="29">
        <v>4.3499999999999996</v>
      </c>
      <c r="K27" s="29">
        <v>4.58</v>
      </c>
      <c r="L27" s="29">
        <v>4.92</v>
      </c>
      <c r="M27" s="29">
        <v>5.05</v>
      </c>
      <c r="N27" s="29">
        <v>6.52</v>
      </c>
      <c r="O27" s="29">
        <v>8.2889999999999997</v>
      </c>
      <c r="P27" s="29">
        <v>10.938000000000001</v>
      </c>
      <c r="Q27" s="29">
        <v>14.47</v>
      </c>
      <c r="R27" s="1"/>
      <c r="S27" s="194" t="s">
        <v>227</v>
      </c>
      <c r="T27" s="29">
        <v>5.3350518723994442</v>
      </c>
      <c r="U27" s="29">
        <v>5.44</v>
      </c>
      <c r="V27" s="29">
        <v>5.64</v>
      </c>
      <c r="W27" s="29">
        <v>6.0810000000000004</v>
      </c>
      <c r="X27" s="29">
        <v>6.52</v>
      </c>
      <c r="Y27" s="29">
        <v>8.2889999999999997</v>
      </c>
      <c r="Z27" s="29">
        <v>10.938000000000001</v>
      </c>
      <c r="AA27" s="29">
        <v>14.47</v>
      </c>
      <c r="AB27" s="1"/>
      <c r="AC27" s="1"/>
      <c r="AD27" s="1"/>
      <c r="AE27" s="1"/>
      <c r="AF27" s="1"/>
      <c r="AG27" s="1"/>
      <c r="AH27" s="1"/>
      <c r="AI27" s="1"/>
      <c r="AJ27" s="1"/>
      <c r="AK27" s="1"/>
      <c r="AL27" s="1"/>
    </row>
    <row r="28" spans="1:38" ht="15.75" thickBot="1" x14ac:dyDescent="0.3">
      <c r="A28" s="1"/>
      <c r="B28" s="1"/>
      <c r="C28" s="228" t="s">
        <v>267</v>
      </c>
      <c r="D28" s="192" t="s">
        <v>321</v>
      </c>
      <c r="E28" s="228" t="s">
        <v>267</v>
      </c>
      <c r="F28" s="228" t="s">
        <v>321</v>
      </c>
      <c r="G28" s="456" t="s">
        <v>267</v>
      </c>
      <c r="H28" s="456" t="s">
        <v>321</v>
      </c>
      <c r="I28" s="194" t="s">
        <v>228</v>
      </c>
      <c r="J28" s="434">
        <f>J25+1.75</f>
        <v>3.55</v>
      </c>
      <c r="K28" s="434">
        <f t="shared" ref="K28:L28" si="5">K25+1.75</f>
        <v>3.6799999999999997</v>
      </c>
      <c r="L28" s="434">
        <f t="shared" si="5"/>
        <v>3.82</v>
      </c>
      <c r="M28" s="434">
        <v>4.3499999999999996</v>
      </c>
      <c r="N28" s="29">
        <v>4.88</v>
      </c>
      <c r="O28" s="29">
        <v>7.02</v>
      </c>
      <c r="P28" s="29">
        <v>10.210000000000001</v>
      </c>
      <c r="Q28" s="29">
        <v>14.47</v>
      </c>
      <c r="R28" s="1"/>
      <c r="S28" s="194" t="s">
        <v>228</v>
      </c>
      <c r="T28" s="434">
        <v>3.7320000000000002</v>
      </c>
      <c r="U28" s="434">
        <v>3.8</v>
      </c>
      <c r="V28" s="434">
        <v>3.94</v>
      </c>
      <c r="W28" s="434">
        <v>4.29</v>
      </c>
      <c r="X28" s="29">
        <v>4.88</v>
      </c>
      <c r="Y28" s="29">
        <v>7.02</v>
      </c>
      <c r="Z28" s="29">
        <v>10.210000000000001</v>
      </c>
      <c r="AA28" s="29">
        <f>AA25+7.36</f>
        <v>14.47</v>
      </c>
      <c r="AB28" s="1"/>
      <c r="AC28" s="1"/>
      <c r="AD28" s="1"/>
      <c r="AE28" s="1"/>
      <c r="AF28" s="1"/>
      <c r="AG28" s="1"/>
      <c r="AH28" s="1"/>
      <c r="AI28" s="1"/>
      <c r="AJ28" s="1"/>
      <c r="AK28" s="1"/>
      <c r="AL28" s="1"/>
    </row>
    <row r="29" spans="1:38" x14ac:dyDescent="0.25">
      <c r="A29" s="1"/>
      <c r="B29" s="207" t="s">
        <v>269</v>
      </c>
      <c r="C29" s="235">
        <f>IF((D4&lt;=4),1,
IF(AND(D4&gt;=5,D4&lt;=9),5,
IF(AND(D4&gt;=10,D4&lt;=14),10,
IF(AND(D4&gt;=15,D4&lt;=19),15,
IF(AND(D4&gt;=20,D4&lt;=24),20,
IF(AND(D4&gt;=25,D4&lt;=49),25,
IF(AND(D4&gt;=50,D4&lt;=80),50,
IF(AND(D4&gt;=81,D4&lt;=101),100,"N/A"))))))))</f>
        <v>100</v>
      </c>
      <c r="D29" s="220">
        <f>C29</f>
        <v>100</v>
      </c>
      <c r="E29" s="235">
        <f>IF((E4&lt;=4),1,
IF(AND(E4&gt;=5,E4&lt;=9),5,
IF(AND(E4&gt;=10,E4&lt;=14),10,
IF(AND(E4&gt;=15,E4&lt;=19),15,
IF(AND(E4&gt;=20,E4&lt;=24),20,
IF(AND(E4&gt;=25,E4&lt;=49),25,
IF(AND(E4&gt;=50,E4&lt;=80),50,
IF(AND(E4&gt;=81,E4&lt;=101),100,"N/A"))))))))</f>
        <v>25</v>
      </c>
      <c r="F29" s="440">
        <f>E29</f>
        <v>25</v>
      </c>
      <c r="G29" s="435">
        <f>IF((F4&lt;=4),1,
IF(AND(F4&gt;=5,F4&lt;=9),5,
IF(AND(F4&gt;=10,F4&lt;=14),10,
IF(AND(F4&gt;=15,F4&lt;=19),15,
IF(AND(F4&gt;=20,F4&lt;=24),20,
IF(AND(F4&gt;=25,F4&lt;=49),25,
IF(AND(F4&gt;=50,F4&lt;=80),50,
IF(AND(F4&gt;=81,F4&lt;=101),100,"N/A"))))))))</f>
        <v>25</v>
      </c>
      <c r="H29" s="457">
        <f>G29</f>
        <v>25</v>
      </c>
      <c r="I29" s="195" t="s">
        <v>223</v>
      </c>
      <c r="J29" s="203">
        <v>3.34</v>
      </c>
      <c r="K29" s="203">
        <v>3.42</v>
      </c>
      <c r="L29" s="203">
        <v>3.52</v>
      </c>
      <c r="M29" s="203">
        <v>3.55</v>
      </c>
      <c r="N29" s="203">
        <v>3.433054417230534</v>
      </c>
      <c r="O29" s="203">
        <v>4.7895473172591254</v>
      </c>
      <c r="P29" s="203">
        <v>6.8242866673020117</v>
      </c>
      <c r="Q29" s="198">
        <v>9.5400000000000009</v>
      </c>
      <c r="R29" s="1"/>
      <c r="S29" s="195" t="s">
        <v>223</v>
      </c>
      <c r="T29" s="198">
        <v>4.2300000000000004</v>
      </c>
      <c r="U29" s="198">
        <v>4.3600000000000003</v>
      </c>
      <c r="V29" s="198">
        <v>4.5</v>
      </c>
      <c r="W29" s="198">
        <v>4.6300000000000008</v>
      </c>
      <c r="X29" s="198">
        <v>5.23</v>
      </c>
      <c r="Y29" s="198">
        <v>6.23</v>
      </c>
      <c r="Z29" s="198">
        <v>7.73</v>
      </c>
      <c r="AA29" s="198">
        <v>9.5400000000000009</v>
      </c>
      <c r="AB29" s="1"/>
      <c r="AC29" s="1"/>
      <c r="AD29" s="1"/>
      <c r="AE29" s="1"/>
      <c r="AF29" s="1"/>
      <c r="AG29" s="1"/>
      <c r="AH29" s="1"/>
      <c r="AI29" s="1"/>
      <c r="AJ29" s="1"/>
      <c r="AK29" s="1"/>
      <c r="AL29" s="1"/>
    </row>
    <row r="30" spans="1:38" x14ac:dyDescent="0.25">
      <c r="A30" s="1"/>
      <c r="B30" s="208" t="s">
        <v>270</v>
      </c>
      <c r="C30" s="236">
        <f>IF(D7="Yes",C32,C31)</f>
        <v>0</v>
      </c>
      <c r="D30" s="221">
        <f>C30</f>
        <v>0</v>
      </c>
      <c r="E30" s="236">
        <f>IF(E7="Yes",E32,E31)</f>
        <v>172.2</v>
      </c>
      <c r="F30" s="441">
        <f>E30</f>
        <v>172.2</v>
      </c>
      <c r="G30" s="436">
        <f>IF(F7="Yes",G32,G31)</f>
        <v>172.2</v>
      </c>
      <c r="H30" s="457">
        <f>G30</f>
        <v>172.2</v>
      </c>
      <c r="I30" s="195" t="s">
        <v>229</v>
      </c>
      <c r="J30" s="198">
        <v>6.46</v>
      </c>
      <c r="K30" s="198">
        <v>6.74</v>
      </c>
      <c r="L30" s="198">
        <v>7.12</v>
      </c>
      <c r="M30" s="198">
        <v>7.25</v>
      </c>
      <c r="N30" s="203">
        <v>7.1930544172305346</v>
      </c>
      <c r="O30" s="203">
        <v>9.3495473172591268</v>
      </c>
      <c r="P30" s="203">
        <v>12.584286667302013</v>
      </c>
      <c r="Q30" s="198">
        <v>16.900000000000002</v>
      </c>
      <c r="R30" s="1"/>
      <c r="S30" s="195" t="s">
        <v>229</v>
      </c>
      <c r="T30" s="198">
        <v>7.7650518723994448</v>
      </c>
      <c r="U30" s="198">
        <v>7.870000000000001</v>
      </c>
      <c r="V30" s="198">
        <v>8.07</v>
      </c>
      <c r="W30" s="198">
        <v>8.5115000000000016</v>
      </c>
      <c r="X30" s="198">
        <v>8.9529999999999994</v>
      </c>
      <c r="Y30" s="198">
        <v>10.719000000000001</v>
      </c>
      <c r="Z30" s="198">
        <v>13.368000000000002</v>
      </c>
      <c r="AA30" s="198">
        <v>16.900000000000002</v>
      </c>
      <c r="AB30" s="1"/>
      <c r="AC30" s="1"/>
      <c r="AD30" s="1"/>
      <c r="AE30" s="1"/>
      <c r="AF30" s="1"/>
      <c r="AG30" s="1"/>
      <c r="AH30" s="1"/>
      <c r="AI30" s="1"/>
      <c r="AJ30" s="1"/>
      <c r="AK30" s="1"/>
      <c r="AL30" s="1"/>
    </row>
    <row r="31" spans="1:38" x14ac:dyDescent="0.25">
      <c r="A31" s="1"/>
      <c r="B31" s="209" t="s">
        <v>287</v>
      </c>
      <c r="C31" s="237">
        <f>IF((C29=100),D5*J9,
IF((C29=50),D5*K9,
IF((C29=25),D5*L9,
IF((C29=20),D5*M9,
IF((C29=15),D5*N9,
IF((C29=10),D5*O9,
IF((C29=5),D5*P9,
IF((C29=1),D5*Q9, “nope”))))))))</f>
        <v>0</v>
      </c>
      <c r="D31" s="221">
        <f>C31</f>
        <v>0</v>
      </c>
      <c r="E31" s="237">
        <f>IF((E29=100),E5*J9,
IF((E29=50),E5*K9,
IF((E29=25),E5*L9,
IF((E29=20),E5*M9,
IF((E29=15),E5*N9,
IF((E29=10),E5*O9,
IF((E29=5),E5*P9,
IF((E29=1),E5*Q9, “nope”))))))))</f>
        <v>172.2</v>
      </c>
      <c r="F31" s="441">
        <f>E31</f>
        <v>172.2</v>
      </c>
      <c r="G31" s="437">
        <f>IF((G29=100),F5*J9,
IF((G29=50),F5*K9,
IF((G29=25),F5*L9,
IF((G29=20),F5*M9,
IF((G29=15),F5*N9,
IF((G29=10),F5*O9,
IF((G29=5),F5*P9,
IF((G29=1),F5*Q9, “nope”))))))))</f>
        <v>172.2</v>
      </c>
      <c r="H31" s="457">
        <f>G31</f>
        <v>172.2</v>
      </c>
      <c r="I31" s="195" t="s">
        <v>232</v>
      </c>
      <c r="J31" s="434">
        <f>J29+1.75</f>
        <v>5.09</v>
      </c>
      <c r="K31" s="434">
        <f t="shared" ref="K31:L31" si="6">K29+1.75</f>
        <v>5.17</v>
      </c>
      <c r="L31" s="434">
        <f t="shared" si="6"/>
        <v>5.27</v>
      </c>
      <c r="M31" s="434">
        <v>5.4335000000000022</v>
      </c>
      <c r="N31" s="203">
        <v>5.7440544172305366</v>
      </c>
      <c r="O31" s="203">
        <v>8.2225473172591279</v>
      </c>
      <c r="P31" s="203">
        <v>11.940286667302011</v>
      </c>
      <c r="Q31" s="198">
        <v>16.900000000000002</v>
      </c>
      <c r="R31" s="1"/>
      <c r="S31" s="195" t="s">
        <v>232</v>
      </c>
      <c r="T31" s="434">
        <v>3.7320000000000002</v>
      </c>
      <c r="U31" s="434">
        <v>3.8</v>
      </c>
      <c r="V31" s="434">
        <v>3.94</v>
      </c>
      <c r="W31" s="434">
        <v>4.29</v>
      </c>
      <c r="X31" s="198">
        <v>7.3149999999999995</v>
      </c>
      <c r="Y31" s="198">
        <v>9.4450000000000003</v>
      </c>
      <c r="Z31" s="198">
        <v>12.64</v>
      </c>
      <c r="AA31" s="198">
        <v>16.900000000000002</v>
      </c>
      <c r="AB31" s="1"/>
      <c r="AC31" s="1"/>
      <c r="AD31" s="1"/>
      <c r="AE31" s="1"/>
      <c r="AF31" s="1"/>
      <c r="AG31" s="1"/>
      <c r="AH31" s="1"/>
      <c r="AI31" s="1"/>
      <c r="AJ31" s="1"/>
      <c r="AK31" s="1"/>
      <c r="AL31" s="1"/>
    </row>
    <row r="32" spans="1:38" x14ac:dyDescent="0.25">
      <c r="A32" s="1"/>
      <c r="B32" s="209" t="s">
        <v>288</v>
      </c>
      <c r="C32" s="237">
        <f>IF(AND(C29=100),D5*J10,
IF((C29=50),D5*K10,
IF((C29=25),D5*L10,
IF((C29=20),D5*M10,
IF((C29=15),D5*N10,
IF((C29=10),D5*O10,
IF((C29=5),D5*P10,
IF((C29=1),D5*Q9, “nope”))))))))</f>
        <v>0</v>
      </c>
      <c r="D32" s="221">
        <f>C32</f>
        <v>0</v>
      </c>
      <c r="E32" s="237">
        <f>IF(AND(E29=100),E5*J10,
IF((E29=50),E5*K10,
IF((E29=25),E5*L10,
IF((E29=20),E5*M10,
IF((E29=15),E5*N10,
IF((E29=10),E5*O10,
IF((E29=5),E5*P10,
IF((E29=1),E5*Q9, “nope”))))))))</f>
        <v>133.69999999999999</v>
      </c>
      <c r="F32" s="441">
        <f>E32</f>
        <v>133.69999999999999</v>
      </c>
      <c r="G32" s="437">
        <f>IF(AND(G29=100),F5*J10,
IF((G29=50),F5*K10,
IF((G29=25),F5*L10,
IF((G29=20),F5*M10,
IF((G29=15),F5*N10,
IF((G29=10),F5*O10,
IF((G29=5),F5*P10,
IF((G29=1),F5*Q9, “nope”))))))))</f>
        <v>133.69999999999999</v>
      </c>
      <c r="H32" s="457">
        <f>G32</f>
        <v>133.69999999999999</v>
      </c>
      <c r="I32" s="196" t="s">
        <v>224</v>
      </c>
      <c r="J32" s="203">
        <v>4.1399999999999997</v>
      </c>
      <c r="K32" s="203">
        <v>4.24</v>
      </c>
      <c r="L32" s="203">
        <v>4.3600000000000003</v>
      </c>
      <c r="M32" s="203">
        <v>4.4000000000000004</v>
      </c>
      <c r="N32" s="203">
        <v>3.9260611836462393</v>
      </c>
      <c r="O32" s="203">
        <v>5.4773544267606971</v>
      </c>
      <c r="P32" s="203">
        <v>7.8042942914323836</v>
      </c>
      <c r="Q32" s="198">
        <v>10.91</v>
      </c>
      <c r="R32" s="1"/>
      <c r="S32" s="196" t="s">
        <v>224</v>
      </c>
      <c r="T32" s="198">
        <v>5.6</v>
      </c>
      <c r="U32" s="198">
        <v>5.7299999999999995</v>
      </c>
      <c r="V32" s="198">
        <v>5.8699999999999992</v>
      </c>
      <c r="W32" s="198">
        <v>6</v>
      </c>
      <c r="X32" s="198">
        <v>6.6</v>
      </c>
      <c r="Y32" s="198">
        <v>7.6</v>
      </c>
      <c r="Z32" s="198">
        <v>9.1</v>
      </c>
      <c r="AA32" s="198">
        <v>10.91</v>
      </c>
      <c r="AB32" s="1"/>
      <c r="AC32" s="1"/>
      <c r="AD32" s="1"/>
      <c r="AE32" s="1"/>
      <c r="AF32" s="1"/>
      <c r="AG32" s="1"/>
      <c r="AH32" s="1"/>
      <c r="AI32" s="1"/>
      <c r="AJ32" s="1"/>
      <c r="AK32" s="1"/>
      <c r="AL32" s="1"/>
    </row>
    <row r="33" spans="1:38" x14ac:dyDescent="0.25">
      <c r="A33" s="1"/>
      <c r="B33" s="209" t="s">
        <v>293</v>
      </c>
      <c r="C33" s="237" t="str">
        <f>D7</f>
        <v>No</v>
      </c>
      <c r="D33" s="221" t="str">
        <f>C33</f>
        <v>No</v>
      </c>
      <c r="E33" s="237" t="str">
        <f>E7</f>
        <v>No</v>
      </c>
      <c r="F33" s="441" t="str">
        <f>E33</f>
        <v>No</v>
      </c>
      <c r="G33" s="437" t="str">
        <f>F7</f>
        <v>No</v>
      </c>
      <c r="H33" s="457" t="str">
        <f>G33</f>
        <v>No</v>
      </c>
      <c r="I33" s="196" t="s">
        <v>230</v>
      </c>
      <c r="J33" s="198">
        <v>7.26</v>
      </c>
      <c r="K33" s="198">
        <v>7.54</v>
      </c>
      <c r="L33" s="198">
        <v>7.96</v>
      </c>
      <c r="M33" s="198">
        <v>8.1</v>
      </c>
      <c r="N33" s="203">
        <v>8.2710611836462391</v>
      </c>
      <c r="O33" s="203">
        <v>10.492354426760699</v>
      </c>
      <c r="P33" s="203">
        <v>13.824294291432384</v>
      </c>
      <c r="Q33" s="198">
        <v>18.27</v>
      </c>
      <c r="R33" s="1"/>
      <c r="S33" s="196" t="s">
        <v>230</v>
      </c>
      <c r="T33" s="199">
        <v>9.1350518723994441</v>
      </c>
      <c r="U33" s="199">
        <v>9.24</v>
      </c>
      <c r="V33" s="199">
        <v>9.44</v>
      </c>
      <c r="W33" s="199">
        <v>9.8814999999999991</v>
      </c>
      <c r="X33" s="199">
        <v>10.323</v>
      </c>
      <c r="Y33" s="199">
        <v>12.088999999999999</v>
      </c>
      <c r="Z33" s="199">
        <v>14.738</v>
      </c>
      <c r="AA33" s="199">
        <v>18.27</v>
      </c>
      <c r="AB33" s="1"/>
      <c r="AC33" s="1"/>
      <c r="AD33" s="1"/>
      <c r="AE33" s="1"/>
      <c r="AF33" s="1"/>
      <c r="AG33" s="1"/>
      <c r="AH33" s="1"/>
      <c r="AI33" s="1"/>
      <c r="AJ33" s="1"/>
      <c r="AK33" s="1"/>
      <c r="AL33" s="1"/>
    </row>
    <row r="34" spans="1:38" x14ac:dyDescent="0.25">
      <c r="A34" s="1"/>
      <c r="B34" s="210" t="s">
        <v>271</v>
      </c>
      <c r="C34" s="238">
        <f t="shared" ref="C34:H34" si="7">SUM(C35:C37)</f>
        <v>0</v>
      </c>
      <c r="D34" s="230">
        <f t="shared" si="7"/>
        <v>0</v>
      </c>
      <c r="E34" s="238">
        <f t="shared" si="7"/>
        <v>115.99999999999999</v>
      </c>
      <c r="F34" s="442">
        <f t="shared" si="7"/>
        <v>215.49999999999997</v>
      </c>
      <c r="G34" s="436">
        <f t="shared" si="7"/>
        <v>115.99999999999999</v>
      </c>
      <c r="H34" s="458">
        <f t="shared" si="7"/>
        <v>215.49999999999997</v>
      </c>
      <c r="I34" s="196" t="s">
        <v>231</v>
      </c>
      <c r="J34" s="434">
        <f>J32+1.75</f>
        <v>5.89</v>
      </c>
      <c r="K34" s="434">
        <f t="shared" ref="K34:L34" si="8">K32+1.75</f>
        <v>5.99</v>
      </c>
      <c r="L34" s="434">
        <f t="shared" si="8"/>
        <v>6.11</v>
      </c>
      <c r="M34" s="434">
        <v>6.589500000000001</v>
      </c>
      <c r="N34" s="203">
        <v>6.2370611836462402</v>
      </c>
      <c r="O34" s="203">
        <v>8.9103544267606978</v>
      </c>
      <c r="P34" s="203">
        <v>12.920294291432384</v>
      </c>
      <c r="Q34" s="198">
        <v>18.27</v>
      </c>
      <c r="R34" s="1"/>
      <c r="S34" s="196" t="s">
        <v>231</v>
      </c>
      <c r="T34" s="434">
        <v>3.7320000000000002</v>
      </c>
      <c r="U34" s="434">
        <v>3.8</v>
      </c>
      <c r="V34" s="434">
        <v>3.94</v>
      </c>
      <c r="W34" s="434">
        <v>4.29</v>
      </c>
      <c r="X34" s="198">
        <v>8.6849999999999987</v>
      </c>
      <c r="Y34" s="198">
        <v>10.815</v>
      </c>
      <c r="Z34" s="198">
        <v>14.009999999999998</v>
      </c>
      <c r="AA34" s="198">
        <v>18.27</v>
      </c>
      <c r="AB34" s="1"/>
      <c r="AC34" s="1"/>
      <c r="AD34" s="1"/>
      <c r="AE34" s="1"/>
      <c r="AF34" s="1"/>
      <c r="AG34" s="1"/>
      <c r="AH34" s="1"/>
      <c r="AI34" s="1"/>
      <c r="AJ34" s="1"/>
      <c r="AK34" s="1"/>
      <c r="AL34" s="1"/>
    </row>
    <row r="35" spans="1:38" x14ac:dyDescent="0.25">
      <c r="A35" s="1"/>
      <c r="B35" s="211" t="s">
        <v>272</v>
      </c>
      <c r="C35" s="239">
        <f>IF(AND(D9=5,C29=100),D8*J11,
IF(AND(D9=5,C29=50),D8*K11,
IF(AND(D9=5,C29=25),D8*L11,
IF(AND(D9=5,C29=20),D8*M11,
IF(AND(D9=5,C29=15),D8*N11,
IF(AND(D9=5,C29=10),D8*O11,
IF(AND(D9=5,C29=5),D8*P11,
IF(AND(D9=5,C29=1),D8*Q11,0))))))))</f>
        <v>0</v>
      </c>
      <c r="D35" s="222">
        <f>IF(AND(D9=5,C29=100),D8*T11,
IF(AND(D9=5,C29=50),D8*U11,
IF(AND(D9=5,C29=25),D8*V11,
IF(AND(D9=5,C29=20),D8*W11,
IF(AND(D9=5,C29=15),D8*X11,
IF(AND(D9=5,C29=10),D8*Y11,
IF(AND(D9=5,C29=5),D8*Z11,
IF(AND(D9=5,C29=1),D8*AA11,0))))))))</f>
        <v>0</v>
      </c>
      <c r="E35" s="239">
        <f>IF(AND(E9=5,E29=100),E8*J11,
IF(AND(E9=5,E29=50),E8*K11,
IF(AND(E9=5,E29=25),E8*L11,
IF(AND(E9=5,E29=20),E8*M11,
IF(AND(E9=5,E29=15),E8*N11,
IF(AND(E9=5,E29=10),E8*O11,
IF(AND(E9=5,E29=5),E8*P11,
IF(AND(E9=5,E29=1),E8*Q11,0))))))))</f>
        <v>0</v>
      </c>
      <c r="F35" s="443">
        <f>IF(AND(E9=5,E29=100),E8*T11,
IF(AND(E9=5,E29=50),E8*U11,
IF(AND(E9=5,E29=25),E8*V11,
IF(AND(E9=5,E29=20),E8*W11,
IF(AND(E9=5,E29=15),E8*X11,
IF(AND(E9=5,E29=10),E8*Y11,
IF(AND(E9=5,E29=5),E8*Z11,
IF(AND(E9=5,E29=1),E8*AA11,0))))))))</f>
        <v>0</v>
      </c>
      <c r="G35" s="437">
        <f>IF(AND(F9=5,G29=100),F8*J11,
IF(AND(F9=5,G29=50),F8*K11,
IF(AND(F9=5,G29=25),F8*L11,
IF(AND(F9=5,G29=20),F8*M11,
IF(AND(F9=5,G29=15),F8*N11,
IF(AND(F9=5,G29=10),F8*O11,
IF(AND(F9=5,G29=5),F8*P11,
IF(AND(F9=5,G29=1),F8*Q11,0))))))))</f>
        <v>0</v>
      </c>
      <c r="H35" s="457">
        <f>IF(AND(F9=5,G29=100),F8*T11,
IF(AND(F9=5,G29=50),F8*U11,
IF(AND(F9=5,G29=25),F8*V11,
IF(AND(F9=5,G29=20),F8*W11,
IF(AND(F9=5,G29=15),F8*X11,
IF(AND(F9=5,G29=10),F8*Y11,
IF(AND(F9=5,G29=5),F8*Z11,
IF(AND(F9=5,G29=1),F8*AA11,0))))))))</f>
        <v>0</v>
      </c>
      <c r="I35" s="197" t="s">
        <v>225</v>
      </c>
      <c r="J35" s="203">
        <v>5.99</v>
      </c>
      <c r="K35" s="203">
        <v>6.12</v>
      </c>
      <c r="L35" s="203">
        <v>6.32</v>
      </c>
      <c r="M35" s="203">
        <v>6.4</v>
      </c>
      <c r="N35" s="203">
        <v>4.8976803583341262</v>
      </c>
      <c r="O35" s="203">
        <v>6.8328866863623361</v>
      </c>
      <c r="P35" s="203">
        <v>9.7356961784046501</v>
      </c>
      <c r="Q35" s="198">
        <v>13.61</v>
      </c>
      <c r="R35" s="1"/>
      <c r="S35" s="197" t="s">
        <v>225</v>
      </c>
      <c r="T35" s="198">
        <v>8.3000000000000007</v>
      </c>
      <c r="U35" s="198">
        <v>8.43</v>
      </c>
      <c r="V35" s="198">
        <v>8.57</v>
      </c>
      <c r="W35" s="198">
        <v>8.6999999999999993</v>
      </c>
      <c r="X35" s="198">
        <v>9.3000000000000007</v>
      </c>
      <c r="Y35" s="198">
        <v>10.3</v>
      </c>
      <c r="Z35" s="198">
        <v>11.8</v>
      </c>
      <c r="AA35" s="198">
        <v>13.61</v>
      </c>
      <c r="AB35" s="1"/>
      <c r="AC35" s="1"/>
      <c r="AD35" s="1"/>
      <c r="AE35" s="1"/>
      <c r="AF35" s="1"/>
      <c r="AG35" s="1"/>
      <c r="AH35" s="1"/>
      <c r="AI35" s="1"/>
      <c r="AJ35" s="1"/>
      <c r="AK35" s="1"/>
      <c r="AL35" s="1"/>
    </row>
    <row r="36" spans="1:38" x14ac:dyDescent="0.25">
      <c r="A36" s="1"/>
      <c r="B36" s="211" t="s">
        <v>273</v>
      </c>
      <c r="C36" s="239">
        <f>IF(AND(D9=8,C29=100),D8*J14,
IF(AND(D9=8,C29=50),D8*K14,
IF(AND(D9=8,C29=25),D8*L14,
IF(AND(D9=8,C29=20),D8*M14,
IF(AND(D9=8,C29=15),D8*N14,
IF(AND(D9=8,C29=10),D8*O14,
IF(AND(D9=8,C29=5),D8*P14,
IF(AND(D9=8,C29=1),D8*Q14,0))))))))</f>
        <v>0</v>
      </c>
      <c r="D36" s="222">
        <f>IF(AND(D9=8,C29=100),D8*T14,
IF(AND(D9=8,C29=50),D8*U14,
IF(AND(D9=8,C29=25),D8*V14,
IF(AND(D9=8,C29=20),D8*W14,
IF(AND(D9=8,C29=15),D8*X14,
IF(AND(D9=8,C29=10),D8*Y14,
IF(AND(D9=8,C29=5),D8*Z14,
IF(AND(D9=8,C29=1),D8*AA14,0))))))))</f>
        <v>0</v>
      </c>
      <c r="E36" s="239">
        <f>IF(AND(E9=8,E29=100),E8*J14,
IF(AND(E9=8,E29=50),E8*K14,
IF(AND(E9=8,E29=25),E8*L14,
IF(AND(E9=8,E29=20),E8*M14,
IF(AND(E9=8,E29=15),E8*N14,
IF(AND(E9=8,E29=10),E8*O14,
IF(AND(E9=8,E29=5),E8*P14,
IF(AND(E9=8,E29=1),E8*Q14,0))))))))</f>
        <v>115.99999999999999</v>
      </c>
      <c r="F36" s="443">
        <f>IF(AND(E9=8,E29=100),E8*T14,
IF(AND(E9=8,E29=50),E8*U14,
IF(AND(E9=8,E29=25),E8*V14,
IF(AND(E9=8,E29=20),E8*W14,
IF(AND(E9=8,E29=15),E8*X14,
IF(AND(E9=8,E29=10),E8*Y14,
IF(AND(E9=8,E29=5),E8*Z14,
IF(AND(E9=8,E29=1),E8*AA14,0))))))))</f>
        <v>215.49999999999997</v>
      </c>
      <c r="G36" s="437">
        <f>IF(AND(F9=8,F29=100),F8*J14,
IF(AND(F9=8,F29=50),F8*K14,
IF(AND(F9=8,F29=25),F8*L14,
IF(AND(F9=8,F29=20),F8*M14,
IF(AND(F9=8,F29=15),F8*N14,
IF(AND(F9=8,F29=10),F8*O14,
IF(AND(F9=8,F29=5),F8*P14,
IF(AND(F9=8,F29=1),F8*Q14,0))))))))</f>
        <v>115.99999999999999</v>
      </c>
      <c r="H36" s="457">
        <f>IF(AND(F9=8,G29=100),F8*T14,
IF(AND(F9=8,G29=50),F8*U14,
IF(AND(F9=8,G29=25),F8*V14,
IF(AND(F9=8,G29=20),F8*W14,
IF(AND(F9=8,G29=15),F8*X14,
IF(AND(F9=8,G29=10),F8*Y14,
IF(AND(F9=8,G29=5),F8*Z14,
IF(AND(F9=8,G29=1),F8*AA14,0))))))))</f>
        <v>215.49999999999997</v>
      </c>
      <c r="I36" s="197" t="s">
        <v>234</v>
      </c>
      <c r="J36" s="198">
        <v>9.11</v>
      </c>
      <c r="K36" s="198">
        <v>9.44</v>
      </c>
      <c r="L36" s="198">
        <v>9.8800000000000008</v>
      </c>
      <c r="M36" s="198">
        <v>10.1</v>
      </c>
      <c r="N36" s="203">
        <v>9.4046803583341259</v>
      </c>
      <c r="O36" s="203">
        <v>11.973886686362336</v>
      </c>
      <c r="P36" s="203">
        <v>15.827696178404649</v>
      </c>
      <c r="Q36" s="198">
        <v>20.97</v>
      </c>
      <c r="R36" s="1"/>
      <c r="S36" s="197" t="s">
        <v>234</v>
      </c>
      <c r="T36" s="198">
        <v>11.835051872399443</v>
      </c>
      <c r="U36" s="198">
        <v>11.940000000000001</v>
      </c>
      <c r="V36" s="198">
        <v>12.14</v>
      </c>
      <c r="W36" s="198">
        <v>12.5815</v>
      </c>
      <c r="X36" s="198">
        <v>13.023</v>
      </c>
      <c r="Y36" s="198">
        <v>14.789000000000001</v>
      </c>
      <c r="Z36" s="198">
        <v>17.437999999999999</v>
      </c>
      <c r="AA36" s="198">
        <v>20.97</v>
      </c>
      <c r="AB36" s="1"/>
      <c r="AC36" s="1"/>
      <c r="AD36" s="1"/>
      <c r="AE36" s="1"/>
      <c r="AF36" s="1"/>
      <c r="AG36" s="1"/>
      <c r="AH36" s="1"/>
      <c r="AI36" s="1"/>
      <c r="AJ36" s="1"/>
      <c r="AK36" s="1"/>
      <c r="AL36" s="1"/>
    </row>
    <row r="37" spans="1:38" x14ac:dyDescent="0.25">
      <c r="A37" s="1"/>
      <c r="B37" s="211" t="s">
        <v>274</v>
      </c>
      <c r="C37" s="239">
        <f>IF(AND(D9=16,C29=100),D8*J17,
IF(AND(D9=16,C29=50),D8*K17,
IF(AND(D9=16,C29=25),D8*L17,
IF(AND(D9=16,C29=20),D8*M17,
IF(AND(D9=16,C29=15),D8*N17,
IF(AND(D9=16,C29=10),D8*O17,
IF(AND(D9=16,C29=5),D8*P17,
IF(AND(D9=16,C29=1),D8*Q17,0))))))))</f>
        <v>0</v>
      </c>
      <c r="D37" s="222">
        <f>IF(AND(D9=16,C29=100),D8*T17,
IF(AND(D9=16,C29=50),D8*U17,
IF(AND(D9=16,C29=25),D8*V17,
IF(AND(D9=16,C29=20),D8*W17,
IF(AND(D9=16,C29=15),D8*X17,
IF(AND(D9=16,C29=10),D8*Y17,
IF(AND(D9=16,C29=5),D8*Z17,
IF(AND(D9=16,C29=1),D8*AA17,0))))))))</f>
        <v>0</v>
      </c>
      <c r="E37" s="239">
        <f>IF(AND(E9=16,E29=100),E8*J17,
IF(AND(E9=16,E29=50),E8*K17,
IF(AND(E9=16,E29=25),E8*L17,
IF(AND(E9=16,E29=20),E8*M17,
IF(AND(E9=16,E29=15),E8*N17,
IF(AND(E9=16,E29=10),E8*O17,
IF(AND(E9=16,E29=5),E8*P17,
IF(AND(E9=16,E29=1),E8*Q17,0))))))))</f>
        <v>0</v>
      </c>
      <c r="F37" s="443">
        <f>IF(AND(E9=16,E29=100),E8*T17,
IF(AND(E9=16,E29=50),E8*U17,
IF(AND(E9=16,E29=25),E8*V17,
IF(AND(E9=16,E29=20),E8*W17,
IF(AND(E9=16,E29=15),E8*X17,
IF(AND(E9=16,E29=10),E8*Y17,
IF(AND(E9=16,E29=5),E8*Z17,
IF(AND(E9=16,E29=1),E8*AA17,0))))))))</f>
        <v>0</v>
      </c>
      <c r="G37" s="437">
        <f>IF(AND(F9=16,G29=100),F8*J17,
IF(AND(F9=16,G29=50),F8*K17,
IF(AND(F9=16,G29=25),F8*L17,
IF(AND(F9=16,G29=20),F8*M17,
IF(AND(F9=16,G29=15),F8*N17,
IF(AND(F9=16,G29=10),F8*O17,
IF(AND(F9=16,G29=5),F8*P17,
IF(AND(F9=16,G29=1),F8*Q17,0))))))))</f>
        <v>0</v>
      </c>
      <c r="H37" s="457">
        <f>IF(AND(F9=16,G29=100),F8*T17,
IF(AND(F9=16,G29=50),F8*U17,
IF(AND(F9=16,G29=25),F8*V17,
IF(AND(F9=16,G29=20),F8*W17,
IF(AND(F9=16,G29=15),F8*X17,
IF(AND(F9=16,G29=10),F8*Y17,
IF(AND(F9=16,G29=5),F8*Z17,
IF(AND(F9=16,G29=1),F8*AA17,0))))))))</f>
        <v>0</v>
      </c>
      <c r="I37" s="197" t="s">
        <v>235</v>
      </c>
      <c r="J37" s="434">
        <f>J35+1.75</f>
        <v>7.74</v>
      </c>
      <c r="K37" s="434">
        <f t="shared" ref="K37:L37" si="9">K35+1.75</f>
        <v>7.87</v>
      </c>
      <c r="L37" s="434">
        <f t="shared" si="9"/>
        <v>8.07</v>
      </c>
      <c r="M37" s="434">
        <v>8.9890000000000008</v>
      </c>
      <c r="N37" s="203">
        <v>7.2086803583341261</v>
      </c>
      <c r="O37" s="203">
        <v>10.265886686362338</v>
      </c>
      <c r="P37" s="203">
        <v>14.85169617840465</v>
      </c>
      <c r="Q37" s="198">
        <v>20.97</v>
      </c>
      <c r="R37" s="1"/>
      <c r="S37" s="197" t="s">
        <v>235</v>
      </c>
      <c r="T37" s="434">
        <v>3.7320000000000002</v>
      </c>
      <c r="U37" s="434">
        <v>3.8</v>
      </c>
      <c r="V37" s="434">
        <v>3.94</v>
      </c>
      <c r="W37" s="434">
        <v>4.29</v>
      </c>
      <c r="X37" s="198">
        <v>11.385</v>
      </c>
      <c r="Y37" s="198">
        <v>13.515000000000001</v>
      </c>
      <c r="Z37" s="198">
        <v>16.71</v>
      </c>
      <c r="AA37" s="198">
        <v>20.97</v>
      </c>
      <c r="AB37" s="1"/>
      <c r="AC37" s="1"/>
      <c r="AD37" s="1"/>
      <c r="AE37" s="1"/>
      <c r="AF37" s="1"/>
      <c r="AG37" s="1"/>
      <c r="AH37" s="1"/>
      <c r="AI37" s="1"/>
      <c r="AJ37" s="1"/>
      <c r="AK37" s="1"/>
      <c r="AL37" s="1"/>
    </row>
    <row r="38" spans="1:38" ht="15" customHeight="1" x14ac:dyDescent="0.25">
      <c r="A38" s="1"/>
      <c r="B38" s="212" t="s">
        <v>275</v>
      </c>
      <c r="C38" s="240">
        <f t="shared" ref="C38:H38" si="10">SUM(C39:C41)</f>
        <v>0</v>
      </c>
      <c r="D38" s="231">
        <f t="shared" si="10"/>
        <v>0</v>
      </c>
      <c r="E38" s="240">
        <f t="shared" si="10"/>
        <v>63.2</v>
      </c>
      <c r="F38" s="444">
        <f t="shared" si="10"/>
        <v>85.7</v>
      </c>
      <c r="G38" s="436">
        <f t="shared" si="10"/>
        <v>63.2</v>
      </c>
      <c r="H38" s="458">
        <f t="shared" si="10"/>
        <v>85.7</v>
      </c>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15" customHeight="1" x14ac:dyDescent="0.25">
      <c r="A39" s="1"/>
      <c r="B39" s="213" t="s">
        <v>276</v>
      </c>
      <c r="C39" s="241">
        <f>IF(AND(D11=5,C29=100),D10*J29,
IF(AND(D11=5,C29=50),D10*K29,
IF(AND(D11=5,C29=25),D10*L29,
IF(AND(D11=5,C29=20),D10*M29,
IF(AND(D11=5,C29=15),D10*N29,
IF(AND(D11=5,C29=10),D10*O29,
IF(AND(D11=5,C29=5),D10*P29,
IF(AND(D11=5,C29=1),D10*Q29,0))))))))</f>
        <v>0</v>
      </c>
      <c r="D39" s="229">
        <f>IF(AND(D11=5,C29=100),D10*T29,
IF(AND(D11=5,C29=50),D10*U29,
IF(AND(D11=5,C29=25),D10*V29,
IF(AND(D11=5,C29=20),D10*W29,
IF(AND(D11=5,C29=15),D10*X29,
IF(AND(D11=5,C29=10),D10*Y29,
IF(AND(D11=5,C29=5),D10*Z29,
IF(AND(D11=5,C29=1),D10*AA29,0))))))))</f>
        <v>0</v>
      </c>
      <c r="E39" s="241">
        <f>IF(AND(E11=5,E29=100),E10*J29,
IF(AND(E11=5,E29=50),E10*K29,
IF(AND(E11=5,E29=25),E10*L29,
IF(AND(E11=5,E29=20),E10*M29,
IF(AND(E11=5,E29=15),E10*N29,
IF(AND(E11=5,E29=10),E10*O29,
IF(AND(E11=5,E29=5),E10*P29,
IF(AND(E11=5,E29=1),E10*Q29,0))))))))</f>
        <v>0</v>
      </c>
      <c r="F39" s="445">
        <f>IF(AND(E11=5,E29=100),E10*T29,
IF(AND(E11=5,E29=50),E10*U29,
IF(AND(E11=5,E29=25),E10*V29,
IF(AND(E11=5,E29=20),E10*W29,
IF(AND(E11=5,E29=15),E10*X29,
IF(AND(E11=5,E29=10),E10*Y29,
IF(AND(E11=5,E29=5),E10*Z29,
IF(AND(E11=5,E29=1),E10*AA29,0))))))))</f>
        <v>0</v>
      </c>
      <c r="G39" s="437">
        <f>IF(AND(F11=5,G29=100),F10*J29,
IF(AND(F11=5,G29=50),F10*K29,
IF(AND(F11=5,G29=25),F10*L29,
IF(AND(F11=5,G29=20),F10*M29,
IF(AND(F11=5,G29=15),F10*N29,
IF(AND(F11=5,G29=10),F10*O29,
IF(AND(F11=5,G29=5),F10*P29,
IF(AND(F11=5,G29=1),F10*Q29,0))))))))</f>
        <v>0</v>
      </c>
      <c r="H39" s="457">
        <f>IF(AND(F11=5,G29=100),F10*T29,
IF(AND(F11=5,G29=50),F10*U29,
IF(AND(F11=5,G29=25),F10*V29,
IF(AND(F11=5,G29=20),F10*W29,
IF(AND(F11=5,G29=15),F10*X29,
IF(AND(F11=5,G29=10),F10*Y29,
IF(AND(F11=5,G29=5),F10*Z29,
IF(AND(F11=5,G29=1),F10*AA29,0))))))))</f>
        <v>0</v>
      </c>
      <c r="I39" s="500" t="s">
        <v>260</v>
      </c>
      <c r="J39" s="1"/>
      <c r="K39" s="1"/>
      <c r="L39" s="1"/>
      <c r="M39" s="1"/>
      <c r="N39" s="1"/>
      <c r="O39" s="1"/>
      <c r="P39" s="1"/>
      <c r="Q39" s="1"/>
      <c r="R39" s="1"/>
      <c r="S39" s="500" t="s">
        <v>260</v>
      </c>
      <c r="T39" s="1"/>
      <c r="U39" s="1"/>
      <c r="V39" s="1"/>
      <c r="W39" s="1"/>
      <c r="X39" s="1"/>
      <c r="Y39" s="1"/>
      <c r="Z39" s="1"/>
      <c r="AA39" s="1"/>
      <c r="AB39" s="1"/>
      <c r="AC39" s="1"/>
      <c r="AD39" s="1"/>
      <c r="AE39" s="1"/>
      <c r="AF39" s="1"/>
      <c r="AG39" s="1"/>
      <c r="AH39" s="1"/>
      <c r="AI39" s="1"/>
      <c r="AJ39" s="1"/>
      <c r="AK39" s="1"/>
      <c r="AL39" s="1"/>
    </row>
    <row r="40" spans="1:38" ht="15" customHeight="1" x14ac:dyDescent="0.25">
      <c r="A40" s="1"/>
      <c r="B40" s="213" t="s">
        <v>277</v>
      </c>
      <c r="C40" s="241">
        <f>IF(AND(D11=8,C29=100),D10*J32,
IF(AND(D11=8,C29=50),D10*K32,
IF(AND(D11=8,C29=25),D10*L32,
IF(AND(D11=8,C29=20),D10*M32,
IF(AND(D11=8,C29=15),D10*N32,
IF(AND(D11=8,C29=10),D10*O32,
IF(AND(D11=8,C29=5),D10*P32,
IF(AND(D11=8,C29=1),D10*Q32,0))))))))</f>
        <v>0</v>
      </c>
      <c r="D40" s="229">
        <f>IF(AND(D11=8,C29=100),D10*T32,
IF(AND(D11=8,C29=50),D10*U32,
IF(AND(D11=8,C29=25),D10*V32,
IF(AND(D11=8,C29=20),D10*W32,
IF(AND(D11=8,C29=15),D10*X32,
IF(AND(D11=8,C29=10),D10*Y32,
IF(AND(D11=8,C29=5),D10*Z32,
IF(AND(D11=8,C29=1),D10*AA32,0))))))))</f>
        <v>0</v>
      </c>
      <c r="E40" s="241">
        <f>IF(AND(E11=8,E29=100),E10*J32,
IF(AND(E11=8,E29=50),E10*K32,
IF(AND(E11=8,E29=25),E10*L32,
IF(AND(E11=8,E29=20),E10*M32,
IF(AND(E11=8,E29=15),E10*N32,
IF(AND(E11=8,E29=10),E10*O32,
IF(AND(E11=8,E29=5),E10*P32,
IF(AND(E11=8,E29=1),E10*Q32,0))))))))</f>
        <v>0</v>
      </c>
      <c r="F40" s="445">
        <f>IF(AND(E11=8,E29=100),E10*T32,
IF(AND(E11=8,E29=50),E10*U32,
IF(AND(E11=8,E29=25),E10*V32,
IF(AND(E11=8,E29=20),E10*W32,
IF(AND(E11=8,E29=15),E10*X32,
IF(AND(E11=8,E29=10),E10*Y32,
IF(AND(E11=8,E29=5),E10*Z32,
IF(AND(E11=8,E29=1),E10*AA32,0))))))))</f>
        <v>0</v>
      </c>
      <c r="G40" s="437">
        <f>IF(AND(F11=8,G29=100),F10*J32,
IF(AND(F11=8,G29=50),F10*K32,
IF(AND(F11=8,G29=25),F10*L32,
IF(AND(F11=8,G29=20),F10*M32,
IF(AND(F11=8,G29=15),F10*N32,
IF(AND(F11=8,G29=10),F10*O32,
IF(AND(F11=8,G29=5),F10*P32,
IF(AND(F11=8,G29=1),F10*Q32,0))))))))</f>
        <v>0</v>
      </c>
      <c r="H40" s="457">
        <f>IF(AND(F11=8,G29=100),F10*T32,
IF(AND(F11=8,G29=50),F10*U32,
IF(AND(F11=8,G29=25),F10*V32,
IF(AND(F11=8,G29=20),F10*W32,
IF(AND(F11=8,G29=15),F10*X32,
IF(AND(F11=8,G29=10),F10*Y32,
IF(AND(F11=8,G29=5),F10*Z32,
IF(AND(F11=8,G29=1),F10*AA32,0))))))))</f>
        <v>0</v>
      </c>
      <c r="I40" s="499"/>
      <c r="J40" s="33">
        <v>100</v>
      </c>
      <c r="K40" s="33">
        <v>50</v>
      </c>
      <c r="L40" s="33">
        <v>25</v>
      </c>
      <c r="M40" s="33">
        <v>20</v>
      </c>
      <c r="N40" s="206"/>
      <c r="O40" s="206"/>
      <c r="P40" s="206"/>
      <c r="Q40" s="206">
        <v>1</v>
      </c>
      <c r="R40" s="1"/>
      <c r="S40" s="499"/>
      <c r="T40" s="33">
        <v>100</v>
      </c>
      <c r="U40" s="33">
        <v>50</v>
      </c>
      <c r="V40" s="33">
        <v>25</v>
      </c>
      <c r="W40" s="33">
        <v>20</v>
      </c>
      <c r="X40" s="33">
        <v>15</v>
      </c>
      <c r="Y40" s="33">
        <v>10</v>
      </c>
      <c r="Z40" s="33">
        <v>5</v>
      </c>
      <c r="AA40" s="33">
        <v>1</v>
      </c>
      <c r="AB40" s="1"/>
      <c r="AC40" s="1"/>
      <c r="AD40" s="1"/>
      <c r="AE40" s="1"/>
      <c r="AF40" s="1"/>
      <c r="AG40" s="1"/>
      <c r="AH40" s="1"/>
      <c r="AI40" s="1"/>
      <c r="AJ40" s="1"/>
      <c r="AK40" s="1"/>
      <c r="AL40" s="1"/>
    </row>
    <row r="41" spans="1:38" ht="15" customHeight="1" x14ac:dyDescent="0.25">
      <c r="A41" s="1"/>
      <c r="B41" s="213" t="s">
        <v>278</v>
      </c>
      <c r="C41" s="241">
        <f>IF(AND(D11=16,C29=100),D10*J35,
IF(AND(D11=16,C29=50),D10*K35,
IF(AND(D11=16,C29=25),D10*L35,
IF(AND(D11=16,C29=20),D10*M35,
IF(AND(D11=16,C29=15),D10*N35,
IF(AND(D11=16,C29=10),D10*O35,
IF(AND(D11=16,C29=5),D10*P35,
IF(AND(D11=16,C29=1),D10*Q35,0))))))))</f>
        <v>0</v>
      </c>
      <c r="D41" s="229">
        <f>IF(AND(D11=16,C29=100),D10*T35,
IF(AND(D11=16,C29=50),D10*U35,
IF(AND(D11=16,C29=25),D10*V35,
IF(AND(D11=16,C29=20),D10*W35,
IF(AND(D11=16,C29=15),D10*X35,
IF(AND(D11=16,C29=10),D10*Y35,
IF(AND(D11=16,C29=5),D10*Z35,
IF(AND(D11=16,C29=1),D10*AA35,0))))))))</f>
        <v>0</v>
      </c>
      <c r="E41" s="241">
        <f>IF(AND(E11=16,E29=100),E10*J35,
IF(AND(E11=16,E29=50),E10*K35,
IF(AND(E11=16,E29=25),E10*L35,
IF(AND(E11=16,E29=20),E10*M35,
IF(AND(E11=16,E29=15),E10*N35,
IF(AND(E11=16,E29=10),E10*O35,
IF(AND(E11=16,E29=5),E10*P35,
IF(AND(E11=16,E29=1),E10*Q35,0))))))))</f>
        <v>63.2</v>
      </c>
      <c r="F41" s="445">
        <f>IF(AND(E11=16,E29=100),E10*T35,
IF(AND(E11=16,E29=50),E10*U35,
IF(AND(E11=16,E29=25),E10*V35,
IF(AND(E11=16,E29=20),E10*W35,
IF(AND(E11=16,E29=15),E10*X35,
IF(AND(E11=16,E29=10),E10*Y35,
IF(AND(E11=16,E29=5),E10*Z35,
IF(AND(E11=16,E29=1),E10*AA35,0))))))))</f>
        <v>85.7</v>
      </c>
      <c r="G41" s="437">
        <f>IF(AND(F11=16,G29=100),F10*J35,
IF(AND(F11=16,G29=50),F10*K35,
IF(AND(F11=16,G29=25),F10*L35,
IF(AND(F11=16,G29=20),F10*M35,
IF(AND(F11=16,G29=15),F10*N35,
IF(AND(F11=16,G29=10),F10*O35,
IF(AND(F11=16,G29=5),F10*P35,
IF(AND(F11=16,G29=1),F10*Q35,0))))))))</f>
        <v>63.2</v>
      </c>
      <c r="H41" s="457">
        <f>IF(AND(F11=16,G29=100),F10*T35,
IF(AND(F11=16,G29=50),F10*U35,
IF(AND(F11=16,G29=25),F10*V35,
IF(AND(F11=16,G29=20),F10*W35,
IF(AND(F11=16,G29=15),F10*X35,
IF(AND(F11=16,G29=10),F10*Y35,
IF(AND(F11=16,G29=5),F10*Z35,
IF(AND(F11=16,G29=1),F10*AA35,0))))))))</f>
        <v>85.7</v>
      </c>
      <c r="I41" s="178" t="s">
        <v>21</v>
      </c>
      <c r="J41" s="29">
        <v>1.8</v>
      </c>
      <c r="K41" s="29">
        <v>1.93</v>
      </c>
      <c r="L41" s="29">
        <v>2.0699999999999998</v>
      </c>
      <c r="M41" s="29">
        <v>2.4</v>
      </c>
      <c r="N41" s="29">
        <v>2.8</v>
      </c>
      <c r="O41" s="29">
        <v>3.8</v>
      </c>
      <c r="P41" s="29">
        <v>5.3</v>
      </c>
      <c r="Q41" s="29">
        <v>7.11</v>
      </c>
      <c r="R41" s="1"/>
      <c r="S41" s="178" t="s">
        <v>21</v>
      </c>
      <c r="T41" s="29">
        <v>1.8</v>
      </c>
      <c r="U41" s="29">
        <v>1.93</v>
      </c>
      <c r="V41" s="29">
        <v>2.0699999999999998</v>
      </c>
      <c r="W41" s="29">
        <v>2.2000000000000002</v>
      </c>
      <c r="X41" s="29">
        <v>2.8</v>
      </c>
      <c r="Y41" s="29">
        <v>3.8</v>
      </c>
      <c r="Z41" s="29">
        <v>5.3</v>
      </c>
      <c r="AA41" s="29">
        <v>7.11</v>
      </c>
      <c r="AB41" s="1"/>
      <c r="AC41" s="1"/>
      <c r="AD41" s="1"/>
      <c r="AE41" s="1"/>
      <c r="AF41" s="1"/>
      <c r="AG41" s="1"/>
      <c r="AH41" s="1"/>
      <c r="AI41" s="1"/>
      <c r="AJ41" s="1"/>
      <c r="AK41" s="1"/>
      <c r="AL41" s="1"/>
    </row>
    <row r="42" spans="1:38" ht="15" customHeight="1" x14ac:dyDescent="0.25">
      <c r="A42" s="1"/>
      <c r="B42" s="214" t="s">
        <v>279</v>
      </c>
      <c r="C42" s="242">
        <f t="shared" ref="C42:H42" si="11">SUM(C43:C45)</f>
        <v>0</v>
      </c>
      <c r="D42" s="232">
        <f t="shared" si="11"/>
        <v>0</v>
      </c>
      <c r="E42" s="242">
        <f t="shared" si="11"/>
        <v>25.2</v>
      </c>
      <c r="F42" s="446">
        <f t="shared" si="11"/>
        <v>32.9</v>
      </c>
      <c r="G42" s="436">
        <f t="shared" si="11"/>
        <v>25.2</v>
      </c>
      <c r="H42" s="458">
        <f t="shared" si="11"/>
        <v>32.9</v>
      </c>
      <c r="I42" s="194" t="s">
        <v>233</v>
      </c>
      <c r="J42" s="434">
        <v>3.7320000000000002</v>
      </c>
      <c r="K42" s="434">
        <v>3.8</v>
      </c>
      <c r="L42" s="434">
        <v>3.94</v>
      </c>
      <c r="M42" s="434">
        <v>4.29</v>
      </c>
      <c r="N42" s="29">
        <v>4.63</v>
      </c>
      <c r="O42" s="29">
        <v>5.99</v>
      </c>
      <c r="P42" s="29">
        <v>8.0500000000000007</v>
      </c>
      <c r="Q42" s="29">
        <v>10.79</v>
      </c>
      <c r="R42" s="1"/>
      <c r="S42" s="194" t="s">
        <v>233</v>
      </c>
      <c r="T42" s="434">
        <v>3.7320000000000002</v>
      </c>
      <c r="U42" s="434">
        <v>3.8</v>
      </c>
      <c r="V42" s="434">
        <v>3.94</v>
      </c>
      <c r="W42" s="434">
        <v>4.29</v>
      </c>
      <c r="X42" s="29">
        <v>4.63</v>
      </c>
      <c r="Y42" s="29">
        <v>5.99</v>
      </c>
      <c r="Z42" s="29">
        <v>8.0500000000000007</v>
      </c>
      <c r="AA42" s="29">
        <v>10.79</v>
      </c>
      <c r="AB42" s="1"/>
      <c r="AC42" s="1"/>
      <c r="AD42" s="1"/>
      <c r="AE42" s="1"/>
      <c r="AF42" s="1"/>
      <c r="AG42" s="1"/>
      <c r="AH42" s="1"/>
      <c r="AI42" s="1"/>
      <c r="AJ42" s="1"/>
      <c r="AK42" s="1"/>
      <c r="AL42" s="1"/>
    </row>
    <row r="43" spans="1:38" ht="15" customHeight="1" x14ac:dyDescent="0.25">
      <c r="A43" s="1"/>
      <c r="B43" s="215" t="s">
        <v>280</v>
      </c>
      <c r="C43" s="243">
        <f>IF(AND(D13=5,C29=100),D12*J45,
IF(AND(D13=5,C29=50),D12*K45,
IF(AND(D13=5,C29=25),D12*L45,
IF(AND(D13=5,C29=20),D12*M45,
IF(AND(D13=5,C29=15),D12*N45,
IF(AND(D13=5,C29=10),D12*O45,
IF(AND(D13=5,C29=5),D12*P45,
IF(AND(D13=5,C29=1),D12*Q45,0))))))))</f>
        <v>0</v>
      </c>
      <c r="D43" s="224">
        <f>IF(AND(D13=5,C29=100),D12*T45,
IF(AND(D13=5,C29=50),D12*U45,
IF(AND(D13=5,C29=25),D12*V45,
IF(AND(D13=5,C29=20),D12*W45,
IF(AND(D13=5,C29=15),D12*X45,
IF(AND(D13=5,C29=10),D12*Y45,
IF(AND(D13=5,C29=5),D12*Z45,
IF(AND(D13=5,C29=1),D12*AA45,0))))))))</f>
        <v>0</v>
      </c>
      <c r="E43" s="243">
        <f>IF(AND(E13=5,E29=100),E12*J45,
IF(AND(E13=5,E29=50),E12*K45,
IF(AND(E13=5,E29=25),E12*L45,
IF(AND(E13=5,E29=20),E12*M45,
IF(AND(E13=5,E29=15),E12*N45,
IF(AND(E13=5,E29=10),E12*O45,
IF(AND(E13=5,E29=5),E12*P45,
IF(AND(E13=5,E29=1),E12*Q45,0))))))))</f>
        <v>25.2</v>
      </c>
      <c r="F43" s="447">
        <f>IF(AND(E13=5,E29=100),E12*T45,
IF(AND(E13=5,E29=50),E12*U45,
IF(AND(E13=5,E29=25),E12*V45,
IF(AND(E13=5,E29=20),E12*W45,
IF(AND(E13=5,E29=15),E12*X45,
IF(AND(E13=5,E29=10),E12*Y45,
IF(AND(E13=5,E29=5),E12*Z45,
IF(AND(E13=5,E29=1),E12*AA45,0))))))))</f>
        <v>32.9</v>
      </c>
      <c r="G43" s="435">
        <f>IF(AND(F13=5,G29=100),F12*J45,
IF(AND(F13=5,G29=50),F12*K45,
IF(AND(F13=5,G29=25),F12*L45,
IF(AND(F13=5,G29=20),F12*M45,
IF(AND(F13=5,G29=15),F12*N45,
IF(AND(F13=5,G29=10),F12*O45,
IF(AND(F13=5,G29=5),F12*P45,
IF(AND(F13=5,G29=1),F12*Q45,0))))))))</f>
        <v>25.2</v>
      </c>
      <c r="H43" s="457">
        <f>IF(AND(F13=5,G29=100),F12*T45,
IF(AND(F13=5,G29=50),F12*U45,
IF(AND(F13=5,G29=25),F12*V45,
IF(AND(F13=5,G29=20),F12*W45,
IF(AND(F13=5,G29=15),F12*X45,
IF(AND(F13=5,G29=10),F12*Y45,
IF(AND(F13=5,G29=5),F12*Z45,
IF(AND(F13=5,G29=1),F12*AA45,0))))))))</f>
        <v>32.9</v>
      </c>
      <c r="I43" s="194" t="s">
        <v>227</v>
      </c>
      <c r="J43" s="29">
        <v>4.3499999999999996</v>
      </c>
      <c r="K43" s="29">
        <v>4.58</v>
      </c>
      <c r="L43" s="29">
        <v>4.92</v>
      </c>
      <c r="M43" s="29">
        <v>5.05</v>
      </c>
      <c r="N43" s="29">
        <v>6.52</v>
      </c>
      <c r="O43" s="29">
        <v>8.2889999999999997</v>
      </c>
      <c r="P43" s="29">
        <v>10.938000000000001</v>
      </c>
      <c r="Q43" s="29">
        <v>14.47</v>
      </c>
      <c r="R43" s="1"/>
      <c r="S43" s="194" t="s">
        <v>227</v>
      </c>
      <c r="T43" s="29">
        <v>5.3350518723994442</v>
      </c>
      <c r="U43" s="29">
        <v>5.44</v>
      </c>
      <c r="V43" s="29">
        <v>5.64</v>
      </c>
      <c r="W43" s="29">
        <v>6.0810000000000004</v>
      </c>
      <c r="X43" s="29">
        <v>6.52</v>
      </c>
      <c r="Y43" s="29">
        <v>8.2889999999999997</v>
      </c>
      <c r="Z43" s="29">
        <v>10.938000000000001</v>
      </c>
      <c r="AA43" s="29">
        <v>14.47</v>
      </c>
      <c r="AB43" s="1"/>
      <c r="AC43" s="1"/>
      <c r="AD43" s="1"/>
      <c r="AE43" s="1"/>
      <c r="AF43" s="1"/>
      <c r="AG43" s="1"/>
      <c r="AH43" s="1"/>
      <c r="AI43" s="1"/>
      <c r="AJ43" s="1"/>
      <c r="AK43" s="1"/>
      <c r="AL43" s="1"/>
    </row>
    <row r="44" spans="1:38" ht="15" customHeight="1" x14ac:dyDescent="0.25">
      <c r="A44" s="1"/>
      <c r="B44" s="215" t="s">
        <v>281</v>
      </c>
      <c r="C44" s="243">
        <f>IF(AND(D13=8,C29=100),D12*J48,
IF(AND(D13=8,C29=50),D12*K48,
IF(AND(D13=8,C29=25),D12*L48,
IF(AND(D13=8,C29=20),D12*M48,
IF(AND(D13=8,C29=15),D12*N48,
IF(AND(D13=8,C29=10),D12*O48,
IF(AND(D13=8,C29=5),D12*P48,
IF(AND(D13=8,C29=1),D12*Q48,0))))))))</f>
        <v>0</v>
      </c>
      <c r="D44" s="224">
        <f>IF(AND(D13=8,C29=100),D12*T48,
IF(AND(D13=8,C29=50),D12*U48,
IF(AND(D13=8,C29=25),D12*V48,
IF(AND(D13=8,C29=20),D12*W48,
IF(AND(D13=8,C29=15),D12*X48,
IF(AND(D13=8,C29=10),D12*Y48,
IF(AND(D13=8,C29=5),D12*Z48,
IF(AND(D13=8,C29=1),D12*AA48,0))))))))</f>
        <v>0</v>
      </c>
      <c r="E44" s="243">
        <f>IF(AND(E13=8,E29=100),E12*J48,
IF(AND(E13=8,E29=50),E12*K48,
IF(AND(E13=8,E29=25),E12*L48,
IF(AND(E13=8,E29=20),E12*M48,
IF(AND(E13=8,E29=15),E12*N48,
IF(AND(E13=8,E29=10),E12*O48,
IF(AND(E13=8,E29=5),E12*P48,
IF(AND(E13=8,E29=1),E12*Q48,0))))))))</f>
        <v>0</v>
      </c>
      <c r="F44" s="447">
        <f>IF(AND(E13=8,E29=100),E12*T48,
IF(AND(E13=8,E29=50),E12*U48,
IF(AND(E13=8,E29=25),E12*V48,
IF(AND(E13=8,E29=20),E12*W48,
IF(AND(E13=8,E29=15),E12*X48,
IF(AND(E13=8,E29=10),E12*Y48,
IF(AND(E13=8,E29=5),E12*Z48,
IF(AND(E13=8,E29=1),E12*AA48,0))))))))</f>
        <v>0</v>
      </c>
      <c r="G44" s="435">
        <f>IF(AND(F13=8,G29=100),F12*J48,
IF(AND(F13=8,G29=50),F12*K48,
IF(AND(F13=8,G29=25),F12*L48,
IF(AND(F13=8,G29=20),F12*M48,
IF(AND(F13=8,G29=15),F12*N48,
IF(AND(F13=8,G29=10),F12*O48,
IF(AND(F13=8,G29=5),F12*P48,
IF(AND(F13=8,G29=1),F12*Q48,0))))))))</f>
        <v>0</v>
      </c>
      <c r="H44" s="457">
        <f>IF(AND(F13=8,G29=100),F12*T48,
IF(AND(F13=8,G29=50),F12*U48,
IF(AND(F13=8,G29=25),F12*V48,
IF(AND(F13=8,G29=20),F12*W48,
IF(AND(F13=8,G29=15),F12*X48,
IF(AND(F13=8,G29=10),F12*Y48,
IF(AND(F13=8,G29=5),F12*Z48,
IF(AND(F13=8,G29=1),F12*AA48,0))))))))</f>
        <v>0</v>
      </c>
      <c r="I44" s="194" t="s">
        <v>228</v>
      </c>
      <c r="J44" s="434">
        <f>J41+1.75</f>
        <v>3.55</v>
      </c>
      <c r="K44" s="434">
        <f t="shared" ref="K44:L44" si="12">K41+1.75</f>
        <v>3.6799999999999997</v>
      </c>
      <c r="L44" s="434">
        <f t="shared" si="12"/>
        <v>3.82</v>
      </c>
      <c r="M44" s="434">
        <v>4.3499999999999996</v>
      </c>
      <c r="N44" s="29">
        <v>4.88</v>
      </c>
      <c r="O44" s="29">
        <v>7.02</v>
      </c>
      <c r="P44" s="29">
        <v>10.210000000000001</v>
      </c>
      <c r="Q44" s="29">
        <v>14.47</v>
      </c>
      <c r="R44" s="1"/>
      <c r="S44" s="194" t="s">
        <v>228</v>
      </c>
      <c r="T44" s="434">
        <v>3.7320000000000002</v>
      </c>
      <c r="U44" s="434">
        <v>3.8</v>
      </c>
      <c r="V44" s="434">
        <v>3.94</v>
      </c>
      <c r="W44" s="434">
        <v>4.29</v>
      </c>
      <c r="X44" s="29">
        <v>4.88</v>
      </c>
      <c r="Y44" s="29">
        <v>7.02</v>
      </c>
      <c r="Z44" s="29">
        <v>10.210000000000001</v>
      </c>
      <c r="AA44" s="29">
        <f>AA41+7.36</f>
        <v>14.47</v>
      </c>
      <c r="AB44" s="1"/>
      <c r="AC44" s="1"/>
      <c r="AD44" s="1"/>
      <c r="AE44" s="1"/>
      <c r="AF44" s="1"/>
      <c r="AG44" s="1"/>
      <c r="AH44" s="1"/>
      <c r="AI44" s="1"/>
      <c r="AJ44" s="1"/>
      <c r="AK44" s="1"/>
      <c r="AL44" s="1"/>
    </row>
    <row r="45" spans="1:38" ht="15" customHeight="1" x14ac:dyDescent="0.25">
      <c r="A45" s="1"/>
      <c r="B45" s="215" t="s">
        <v>282</v>
      </c>
      <c r="C45" s="243">
        <f>IF(AND(D13=16,C29=100),D12*J51,
IF(AND(D13=16,C29=50),D12*K51,
IF(AND(D13=16,C29=25),D12*L51,
IF(AND(D13=16,C29=20),D12*M51,
IF(AND(D13=16,C29=15),D12*N51,
IF(AND(D13=16,C29=10),D12*O51,
IF(AND(D13=16,C29=5),D12*P51,
IF(AND(D13=16,C29=1),D12*Q51,0))))))))</f>
        <v>0</v>
      </c>
      <c r="D45" s="224">
        <f>IF(AND(D13=16,C29=100),D12*T51,
IF(AND(D13=16,C29=50),D12*U51,
IF(AND(D13=16,C29=25),D12*V51,
IF(AND(D13=16,C29=20),D12*W51,
IF(AND(D13=16,C29=15),D12*X51,
IF(AND(D13=16,C29=10),D12*Y51,
IF(AND(D13=16,C29=5),D12*Z51,
IF(AND(D13=16,C29=1),D12*AA51,0))))))))</f>
        <v>0</v>
      </c>
      <c r="E45" s="243">
        <f>IF(AND(E13=16,E29=100),E12*J51,
IF(AND(E13=16,E29=50),E12*K51,
IF(AND(E13=16,E29=25),E12*L51,
IF(AND(E13=16,E29=20),E12*M51,
IF(AND(E13=16,E29=15),E12*N51,
IF(AND(E13=16,E29=10),E12*O51,
IF(AND(E13=16,E29=5),E12*P51,
IF(AND(E13=16,E29=1),E12*Q51,0))))))))</f>
        <v>0</v>
      </c>
      <c r="F45" s="447">
        <f>IF(AND(E13=16,E29=100),E12*T51,
IF(AND(E13=16,E29=50),E12*U51,
IF(AND(E13=16,E29=25),E12*V51,
IF(AND(E13=16,E29=20),E12*W51,
IF(AND(E13=16,E29=15),E12*X51,
IF(AND(E13=16,E29=10),E12*Y51,
IF(AND(E13=16,E29=5),E12*Z51,
IF(AND(E13=16,E29=1),E12*AA51,0))))))))</f>
        <v>0</v>
      </c>
      <c r="G45" s="435">
        <f>IF(AND(F13=16,G29=100),F12*J51,
IF(AND(F13=16,G29=50),F12*K51,
IF(AND(F13=16,G29=25),F12*L51,
IF(AND(F13=16,G29=20),F12*M51,
IF(AND(F13=16,G29=15),F12*N51,
IF(AND(F13=16,G29=10),F12*O51,
IF(AND(F13=16,G29=5),F12*P51,
IF(AND(F13=16,G29=1),F12*Q51,0))))))))</f>
        <v>0</v>
      </c>
      <c r="H45" s="457">
        <f>IF(AND(F13=16,G29=100),F12*T51,
IF(AND(F13=16,G29=50),F12*U51,
IF(AND(F13=16,G29=25),F12*V51,
IF(AND(F13=16,G29=20),F12*W51,
IF(AND(F13=16,G29=15),F12*X51,
IF(AND(F13=16,G29=10),F12*Y51,
IF(AND(F13=16,G29=5),F12*Z51,
IF(AND(F13=16,G29=1),F12*AA51,0))))))))</f>
        <v>0</v>
      </c>
      <c r="I45" s="195" t="s">
        <v>223</v>
      </c>
      <c r="J45" s="203">
        <v>2.38</v>
      </c>
      <c r="K45" s="203">
        <v>2.44</v>
      </c>
      <c r="L45" s="203">
        <v>2.52</v>
      </c>
      <c r="M45" s="203">
        <v>2.5499999999999998</v>
      </c>
      <c r="N45" s="203">
        <v>2.9976250833889249</v>
      </c>
      <c r="O45" s="203">
        <v>4.1820680453635752</v>
      </c>
      <c r="P45" s="203">
        <v>5.958732488325551</v>
      </c>
      <c r="Q45" s="198">
        <v>8.33</v>
      </c>
      <c r="R45" s="1"/>
      <c r="S45" s="195" t="s">
        <v>223</v>
      </c>
      <c r="T45" s="198">
        <v>3.02</v>
      </c>
      <c r="U45" s="198">
        <v>3.15</v>
      </c>
      <c r="V45" s="198">
        <v>3.29</v>
      </c>
      <c r="W45" s="198">
        <v>3.5420000000000007</v>
      </c>
      <c r="X45" s="198">
        <f>(AA45)-(AA45-V45)*0.9</f>
        <v>3.7939999999999996</v>
      </c>
      <c r="Y45" s="198">
        <f>(AA45)-(AA45-V45)*0.7</f>
        <v>4.8020000000000005</v>
      </c>
      <c r="Z45" s="198">
        <f>(AA45)-(AA45-V45)*0.4</f>
        <v>6.3140000000000001</v>
      </c>
      <c r="AA45" s="198">
        <f t="shared" ref="AA45" si="13">AA41+1.22</f>
        <v>8.33</v>
      </c>
      <c r="AB45" s="1"/>
      <c r="AC45" s="1"/>
      <c r="AD45" s="1"/>
      <c r="AE45" s="1"/>
      <c r="AF45" s="1"/>
      <c r="AG45" s="1"/>
      <c r="AH45" s="1"/>
      <c r="AI45" s="1"/>
      <c r="AJ45" s="1"/>
      <c r="AK45" s="1"/>
      <c r="AL45" s="1"/>
    </row>
    <row r="46" spans="1:38" ht="15" customHeight="1" x14ac:dyDescent="0.25">
      <c r="A46" s="1"/>
      <c r="B46" s="216" t="s">
        <v>283</v>
      </c>
      <c r="C46" s="244">
        <f t="shared" ref="C46:H46" si="14">SUM(C47:C49)</f>
        <v>0</v>
      </c>
      <c r="D46" s="233">
        <f t="shared" si="14"/>
        <v>0</v>
      </c>
      <c r="E46" s="244">
        <f t="shared" si="14"/>
        <v>0</v>
      </c>
      <c r="F46" s="448">
        <f t="shared" si="14"/>
        <v>0</v>
      </c>
      <c r="G46" s="438">
        <f t="shared" si="14"/>
        <v>0</v>
      </c>
      <c r="H46" s="458">
        <f t="shared" si="14"/>
        <v>0</v>
      </c>
      <c r="I46" s="195" t="s">
        <v>229</v>
      </c>
      <c r="J46" s="198">
        <v>5.5</v>
      </c>
      <c r="K46" s="198">
        <v>5.74</v>
      </c>
      <c r="L46" s="198">
        <v>6.12</v>
      </c>
      <c r="M46" s="198">
        <v>6.25</v>
      </c>
      <c r="N46" s="203">
        <v>6.7576250833889251</v>
      </c>
      <c r="O46" s="203">
        <v>8.7420680453635775</v>
      </c>
      <c r="P46" s="203">
        <v>11.718732488325553</v>
      </c>
      <c r="Q46" s="198">
        <v>15.690000000000001</v>
      </c>
      <c r="R46" s="1"/>
      <c r="S46" s="195" t="s">
        <v>229</v>
      </c>
      <c r="T46" s="198">
        <v>6.555051872399444</v>
      </c>
      <c r="U46" s="198">
        <v>6.66</v>
      </c>
      <c r="V46" s="198">
        <v>6.8599999999999994</v>
      </c>
      <c r="W46" s="198">
        <v>7.3015000000000008</v>
      </c>
      <c r="X46" s="198">
        <f t="shared" ref="X46:X53" si="15">(AA46)-(AA46-V46)*0.9</f>
        <v>7.7429999999999994</v>
      </c>
      <c r="Y46" s="198">
        <f t="shared" ref="Y46:Y53" si="16">(AA46)-(AA46-V46)*0.7</f>
        <v>9.5090000000000003</v>
      </c>
      <c r="Z46" s="198">
        <f t="shared" ref="Z46:Z53" si="17">(AA46)-(AA46-V46)*0.4</f>
        <v>12.158000000000001</v>
      </c>
      <c r="AA46" s="198">
        <f t="shared" ref="AA46:AA47" si="18">AA43+1.22</f>
        <v>15.690000000000001</v>
      </c>
      <c r="AB46" s="1"/>
      <c r="AC46" s="1"/>
      <c r="AD46" s="1"/>
      <c r="AE46" s="1"/>
      <c r="AF46" s="1"/>
      <c r="AG46" s="1"/>
      <c r="AH46" s="1"/>
      <c r="AI46" s="1"/>
      <c r="AJ46" s="1"/>
      <c r="AK46" s="1"/>
      <c r="AL46" s="1"/>
    </row>
    <row r="47" spans="1:38" x14ac:dyDescent="0.25">
      <c r="A47" s="1"/>
      <c r="B47" s="217" t="s">
        <v>284</v>
      </c>
      <c r="C47" s="245">
        <f>IF(AND(D15=5,C29=100),D14*J61,
IF(AND(D15=5,C29=50),D14*K61,
IF(AND(D15=5,C29=25),D14*L61,
IF(AND(D15=5,C29=20),D14*M61,
IF(AND(D15=5,C29=15),D14*N61,
IF(AND(D15=5,C29=10),D14*O61,
IF(AND(D15=5,C29=5),D14*P61,
IF(AND(D15=5,C29=1),D14*Q61,0))))))))</f>
        <v>0</v>
      </c>
      <c r="D47" s="226">
        <f>C47</f>
        <v>0</v>
      </c>
      <c r="E47" s="245">
        <f>IF(AND(E15=5,E29=100),E14*J61,
IF(AND(E15=5,E29=50),E14*K61,
IF(AND(E15=5,E29=25),E14*L61,
IF(AND(E15=5,E29=20),E14*M61,
IF(AND(E15=5,E29=15),E14*N61,
IF(AND(E15=5,E29=10),E14*O61,
IF(AND(E15=5,E29=5),E14*P61,
IF(AND(E15=5,E29=1),E14*Q61,0))))))))</f>
        <v>0</v>
      </c>
      <c r="F47" s="449">
        <f>E47</f>
        <v>0</v>
      </c>
      <c r="G47" s="435">
        <f>IF(AND(F15=5,G29=100),F14*J61,
IF(AND(F15=5,G29=50),F14*K61,
IF(AND(F15=5,G29=25),F14*L61,
IF(AND(F15=5,G29=20),F14*M61,
IF(AND(F15=5,G29=15),F14*N61,
IF(AND(F15=5,G29=10),F14*O61,
IF(AND(F15=5,G29=5),F14*P61,
IF(AND(F15=5,G29=1),F14*Q61,0))))))))</f>
        <v>0</v>
      </c>
      <c r="H47" s="457">
        <f>G47</f>
        <v>0</v>
      </c>
      <c r="I47" s="195" t="s">
        <v>232</v>
      </c>
      <c r="J47" s="434">
        <f>J45+1.75</f>
        <v>4.13</v>
      </c>
      <c r="K47" s="434">
        <f t="shared" ref="K47:L47" si="19">K45+1.75</f>
        <v>4.1899999999999995</v>
      </c>
      <c r="L47" s="434">
        <f t="shared" si="19"/>
        <v>4.2699999999999996</v>
      </c>
      <c r="M47" s="434">
        <v>5.4335000000000022</v>
      </c>
      <c r="N47" s="203">
        <v>5.308625083388927</v>
      </c>
      <c r="O47" s="203">
        <v>7.6150680453635786</v>
      </c>
      <c r="P47" s="203">
        <v>11.074732488325552</v>
      </c>
      <c r="Q47" s="198">
        <v>15.690000000000001</v>
      </c>
      <c r="R47" s="1"/>
      <c r="S47" s="195" t="s">
        <v>232</v>
      </c>
      <c r="T47" s="434">
        <v>3.7320000000000002</v>
      </c>
      <c r="U47" s="434">
        <v>3.8</v>
      </c>
      <c r="V47" s="434">
        <v>3.94</v>
      </c>
      <c r="W47" s="434">
        <v>4.29</v>
      </c>
      <c r="X47" s="198">
        <f t="shared" si="15"/>
        <v>5.1150000000000002</v>
      </c>
      <c r="Y47" s="198">
        <f t="shared" si="16"/>
        <v>7.4649999999999999</v>
      </c>
      <c r="Z47" s="198">
        <f t="shared" si="17"/>
        <v>10.99</v>
      </c>
      <c r="AA47" s="198">
        <f t="shared" si="18"/>
        <v>15.690000000000001</v>
      </c>
      <c r="AB47" s="1"/>
      <c r="AC47" s="1"/>
      <c r="AD47" s="1"/>
      <c r="AE47" s="1"/>
      <c r="AF47" s="1"/>
      <c r="AG47" s="1"/>
      <c r="AH47" s="1"/>
      <c r="AI47" s="1"/>
      <c r="AJ47" s="1"/>
      <c r="AK47" s="1"/>
      <c r="AL47" s="1"/>
    </row>
    <row r="48" spans="1:38" x14ac:dyDescent="0.25">
      <c r="A48" s="1"/>
      <c r="B48" s="217" t="s">
        <v>285</v>
      </c>
      <c r="C48" s="245">
        <f>IF(AND(D15=8,C29=100),D14*J65,
IF(AND(D15=8,C29=50),D14*K65,
IF(AND(D15=8,C29=25),D14*L65,
IF(AND(D15=8,C29=20),D14*M65,
IF(AND(D15=8,C29=15),D14*N65,
IF(AND(D15=8,C29=10),D14*O65,
IF(AND(D15=8,C29=5),D14*P65,
IF(AND(D15=8,C29=1),D14*Q65,0))))))))</f>
        <v>0</v>
      </c>
      <c r="D48" s="226">
        <f>C48</f>
        <v>0</v>
      </c>
      <c r="E48" s="245">
        <f>IF(AND(E15=8,E29=100),E14*J65,
IF(AND(E15=8,E29=50),E14*K65,
IF(AND(E15=8,E29=25),E14*L65,
IF(AND(E15=8,E29=20),E14*M65,
IF(AND(E15=8,E29=15),E14*N65,
IF(AND(E15=8,E29=10),E14*O65,
IF(AND(E15=8,E29=5),E14*P65,
IF(AND(E15=8,E29=1),E14*Q65,0))))))))</f>
        <v>0</v>
      </c>
      <c r="F48" s="449">
        <f>E48</f>
        <v>0</v>
      </c>
      <c r="G48" s="435">
        <f>IF(AND(F15=8,G29=100),F14*J65,
IF(AND(F15=8,G29=50),F14*K65,
IF(AND(F15=8,G29=25),F14*L65,
IF(AND(F15=8,G29=20),F14*M65,
IF(AND(F15=8,G29=15),F14*N65,
IF(AND(F15=8,G29=10),F14*O65,
IF(AND(F15=8,G29=5),F14*P65,
IF(AND(F15=8,G29=1),F14*Q65,0))))))))</f>
        <v>0</v>
      </c>
      <c r="H48" s="457">
        <f>G48</f>
        <v>0</v>
      </c>
      <c r="I48" s="196" t="s">
        <v>224</v>
      </c>
      <c r="J48" s="203">
        <v>3.38</v>
      </c>
      <c r="K48" s="203">
        <v>3.46</v>
      </c>
      <c r="L48" s="203">
        <v>3.56</v>
      </c>
      <c r="M48" s="203">
        <v>3.6</v>
      </c>
      <c r="N48" s="203">
        <v>3.5266177451634415</v>
      </c>
      <c r="O48" s="203">
        <v>4.9200800533689124</v>
      </c>
      <c r="P48" s="203">
        <v>7.0102735156771194</v>
      </c>
      <c r="Q48" s="198">
        <v>9.8000000000000007</v>
      </c>
      <c r="R48" s="1"/>
      <c r="S48" s="196" t="s">
        <v>224</v>
      </c>
      <c r="T48" s="198">
        <v>4.49</v>
      </c>
      <c r="U48" s="198">
        <v>4.62</v>
      </c>
      <c r="V48" s="198">
        <v>4.76</v>
      </c>
      <c r="W48" s="198">
        <v>5.0120000000000005</v>
      </c>
      <c r="X48" s="198">
        <f t="shared" si="15"/>
        <v>5.2639999999999993</v>
      </c>
      <c r="Y48" s="198">
        <f t="shared" si="16"/>
        <v>6.2720000000000002</v>
      </c>
      <c r="Z48" s="198">
        <f t="shared" si="17"/>
        <v>7.7840000000000007</v>
      </c>
      <c r="AA48" s="198">
        <f t="shared" ref="AA48" si="20">AA41+2.69</f>
        <v>9.8000000000000007</v>
      </c>
      <c r="AB48" s="1"/>
      <c r="AC48" s="1"/>
      <c r="AD48" s="1"/>
      <c r="AE48" s="1"/>
      <c r="AF48" s="1"/>
      <c r="AG48" s="1"/>
      <c r="AH48" s="1"/>
      <c r="AI48" s="1"/>
      <c r="AJ48" s="1"/>
      <c r="AK48" s="1"/>
      <c r="AL48" s="1"/>
    </row>
    <row r="49" spans="1:38" x14ac:dyDescent="0.25">
      <c r="A49" s="1"/>
      <c r="B49" s="217" t="s">
        <v>286</v>
      </c>
      <c r="C49" s="245">
        <f>IF(AND(D15=16,C29=100),D14*J68,
IF(AND(D15=16,C29=50),D14*K68,
IF(AND(D15=16,C29=25),D14*L68,
IF(AND(D15=16,C29=20),D14*M68,
IF(AND(D15=16,C29=15),D14*N68,
IF(AND(D15=16,C29=10),D14*O68,
IF(AND(D15=16,C29=5),D14*P68,
IF(AND(D15=16,C29=1),D14*Q68,0))))))))</f>
        <v>0</v>
      </c>
      <c r="D49" s="226">
        <f>C49</f>
        <v>0</v>
      </c>
      <c r="E49" s="245">
        <f>IF(AND(E15=16,E29=100),E14*J68,
IF(AND(E15=16,E29=50),E14*K68,
IF(AND(E15=16,E29=25),E14*L68,
IF(AND(E15=16,E29=20),E14*M68,
IF(AND(E15=16,E29=15),E14*N68,
IF(AND(E15=16,E29=10),E14*O68,
IF(AND(E15=16,E29=5),E14*P68,
IF(AND(E15=16,E29=1),E14*Q68,0))))))))</f>
        <v>0</v>
      </c>
      <c r="F49" s="449">
        <f>E49</f>
        <v>0</v>
      </c>
      <c r="G49" s="435">
        <f>IF(AND(F15=16,G29=100),F14*J68,
IF(AND(F15=16,G29=50),F14*K68,
IF(AND(F15=16,G29=25),F14*L68,
IF(AND(F15=16,G29=20),F14*M68,
IF(AND(F15=16,G29=15),F14*N68,
IF(AND(F15=16,G29=10),F14*O68,
IF(AND(F15=16,G29=5),F14*P68,
IF(AND(F15=16,G29=1),F14*Q68,0))))))))</f>
        <v>0</v>
      </c>
      <c r="H49" s="457">
        <f>G49</f>
        <v>0</v>
      </c>
      <c r="I49" s="196" t="s">
        <v>230</v>
      </c>
      <c r="J49" s="198">
        <v>6.5</v>
      </c>
      <c r="K49" s="198">
        <v>6.78</v>
      </c>
      <c r="L49" s="198">
        <v>7.16</v>
      </c>
      <c r="M49" s="198">
        <v>7.3</v>
      </c>
      <c r="N49" s="203">
        <v>7.871617745163439</v>
      </c>
      <c r="O49" s="203">
        <v>9.9350800533689121</v>
      </c>
      <c r="P49" s="203">
        <v>13.03027351567712</v>
      </c>
      <c r="Q49" s="198">
        <v>17.16</v>
      </c>
      <c r="R49" s="1"/>
      <c r="S49" s="196" t="s">
        <v>230</v>
      </c>
      <c r="T49" s="199">
        <v>8.0250518723994446</v>
      </c>
      <c r="U49" s="199">
        <v>8.1300000000000008</v>
      </c>
      <c r="V49" s="199">
        <v>8.33</v>
      </c>
      <c r="W49" s="199">
        <v>8.7714999999999996</v>
      </c>
      <c r="X49" s="199">
        <f t="shared" si="15"/>
        <v>9.213000000000001</v>
      </c>
      <c r="Y49" s="199">
        <f t="shared" si="16"/>
        <v>10.978999999999999</v>
      </c>
      <c r="Z49" s="199">
        <f t="shared" si="17"/>
        <v>13.628</v>
      </c>
      <c r="AA49" s="199">
        <f t="shared" ref="AA49:AA50" si="21">AA43+2.69</f>
        <v>17.16</v>
      </c>
      <c r="AB49" s="1"/>
      <c r="AC49" s="1"/>
      <c r="AD49" s="1"/>
      <c r="AE49" s="1"/>
      <c r="AF49" s="1"/>
      <c r="AG49" s="1"/>
      <c r="AH49" s="1"/>
      <c r="AI49" s="1"/>
      <c r="AJ49" s="1"/>
      <c r="AK49" s="1"/>
      <c r="AL49" s="1"/>
    </row>
    <row r="50" spans="1:38" x14ac:dyDescent="0.25">
      <c r="A50" s="1"/>
      <c r="B50" s="254" t="s">
        <v>294</v>
      </c>
      <c r="C50" s="255">
        <f>IF((C29=100), 1.8*(D4-(D5-D6)-D8-D10-D12-D14),
IF((C29=50), 1.93*(D4-(D5-D6)-D8-D10-D12-D14),
IF((C29=25), 2.07*(D4-(D5-D6)-D8-D10-D12-D14),
IF((C29=20), 2.2*(D4-(D5-D6)-D8-D10-D12-D14),
IF((C29=15), 2.8*(D4-(D5-D6)-D8-D10-D12-D14),
IF((C29=10), 3.8*(D4-(D5-D6)-D8-D10-D12-D14),
IF((C29=5), 5.3*(D4-(D5-D6)-D8-D10-D12-D14),
IF((C29=1), 7.11*(D4-(D5-D6)-D8-D10-D12-D14), "nope"))))))))</f>
        <v>180</v>
      </c>
      <c r="D50" s="256">
        <f>C50</f>
        <v>180</v>
      </c>
      <c r="E50" s="255">
        <f>IF((E29=100), 2*(E4-(E5-E6)-E8-E10-E12-E14),
IF((E29=50), 2*(E4-(E5-E6)-E8-E10-E12-E14),
IF((E29=25), 2.07*(E4-(E5-E6)-E8-E10-E12-E14),
IF((E29=20), 2.2*(E4-(E5-E6)-E8-E10-E12-E14),
IF((E29=15), 2.8*(E4-(E5-E6)-E8-E10-E12-E14),
IF((E29=10), 3.8*(E4-(E5-E6)-E8-E10-E12-E14),
IF((E29=5), 5.3*(E4-(E5-E6)-E8-E10-E12-E14),
IF((E29=1), 7.11*(E4-(E5-E6)-E8-E10-E12-E14),"nope"))))))))</f>
        <v>-10.35</v>
      </c>
      <c r="F50" s="450">
        <f>E50</f>
        <v>-10.35</v>
      </c>
      <c r="G50" s="459">
        <f>IF((G29=100), 2*(F4-(F5-F6)-F8-F10-F12-F14),
IF((G29=50), 2*(F4-(F5-F6)-F8-F10-F12-F14),
IF((G29=25), 2.07*(F4-(F5-F6)-F8-F10-F12-F14),
IF((G29=20), 2.2*(F4-(F5-F6)-F8-F10-F12-F14),
IF((G29=15), 2.8*(F4-(F5-F6)-F8-F10-F12-F14),
IF((G29=10), 3.8*(F4-(F5-F6)-F8-F10-F12-F14),
IF((G29=5), 5.3*(F4-(F5-F6)-F8-F10-F12-F14),
IF((G29=1), 7.11*(F4-(F5-F6)-F8-F10-F12-F14),"nope"))))))))</f>
        <v>-10.35</v>
      </c>
      <c r="H50" s="459">
        <f>G50</f>
        <v>-10.35</v>
      </c>
      <c r="I50" s="196" t="s">
        <v>231</v>
      </c>
      <c r="J50" s="434">
        <f>J48+1.75</f>
        <v>5.13</v>
      </c>
      <c r="K50" s="434">
        <f t="shared" ref="K50:L50" si="22">K48+1.75</f>
        <v>5.21</v>
      </c>
      <c r="L50" s="434">
        <f t="shared" si="22"/>
        <v>5.3100000000000005</v>
      </c>
      <c r="M50" s="434">
        <v>6.589500000000001</v>
      </c>
      <c r="N50" s="203">
        <v>5.8376177451634401</v>
      </c>
      <c r="O50" s="203">
        <v>8.3530800533689114</v>
      </c>
      <c r="P50" s="203">
        <v>12.12627351567712</v>
      </c>
      <c r="Q50" s="198">
        <v>17.16</v>
      </c>
      <c r="R50" s="1"/>
      <c r="S50" s="196" t="s">
        <v>231</v>
      </c>
      <c r="T50" s="434">
        <v>3.7320000000000002</v>
      </c>
      <c r="U50" s="434">
        <v>3.8</v>
      </c>
      <c r="V50" s="434">
        <v>3.94</v>
      </c>
      <c r="W50" s="434">
        <v>4.29</v>
      </c>
      <c r="X50" s="198">
        <f t="shared" si="15"/>
        <v>5.2619999999999987</v>
      </c>
      <c r="Y50" s="198">
        <f t="shared" si="16"/>
        <v>7.9060000000000006</v>
      </c>
      <c r="Z50" s="198">
        <f t="shared" si="17"/>
        <v>11.872</v>
      </c>
      <c r="AA50" s="198">
        <f t="shared" si="21"/>
        <v>17.16</v>
      </c>
      <c r="AB50" s="1"/>
      <c r="AC50" s="1"/>
      <c r="AD50" s="1"/>
      <c r="AE50" s="1"/>
      <c r="AF50" s="1"/>
      <c r="AG50" s="1"/>
      <c r="AH50" s="1"/>
      <c r="AI50" s="1"/>
      <c r="AJ50" s="1"/>
      <c r="AK50" s="1"/>
      <c r="AL50" s="1"/>
    </row>
    <row r="51" spans="1:38" x14ac:dyDescent="0.25">
      <c r="A51" s="1"/>
      <c r="B51" s="218" t="s">
        <v>289</v>
      </c>
      <c r="C51" s="246">
        <f>SUM(C30,C34,C38,C42,C46,C50)</f>
        <v>180</v>
      </c>
      <c r="D51" s="227">
        <f t="shared" ref="D51:H51" si="23">SUM(D30,D34,D38,D42,D46,D50)</f>
        <v>180</v>
      </c>
      <c r="E51" s="246">
        <f t="shared" si="23"/>
        <v>366.24999999999994</v>
      </c>
      <c r="F51" s="451">
        <f t="shared" si="23"/>
        <v>495.94999999999987</v>
      </c>
      <c r="G51" s="438">
        <f t="shared" si="23"/>
        <v>366.24999999999994</v>
      </c>
      <c r="H51" s="458">
        <f t="shared" si="23"/>
        <v>495.94999999999987</v>
      </c>
      <c r="I51" s="197" t="s">
        <v>225</v>
      </c>
      <c r="J51" s="203">
        <v>4.67</v>
      </c>
      <c r="K51" s="203">
        <v>4.78</v>
      </c>
      <c r="L51" s="203">
        <v>4.92</v>
      </c>
      <c r="M51" s="203">
        <v>5</v>
      </c>
      <c r="N51" s="203">
        <v>4.2031525779090808</v>
      </c>
      <c r="O51" s="203">
        <v>5.8639321452396835</v>
      </c>
      <c r="P51" s="203">
        <v>8.3551014962355854</v>
      </c>
      <c r="Q51" s="198">
        <v>11.68</v>
      </c>
      <c r="R51" s="1"/>
      <c r="S51" s="197" t="s">
        <v>225</v>
      </c>
      <c r="T51" s="198">
        <v>6.37</v>
      </c>
      <c r="U51" s="198">
        <v>6.5</v>
      </c>
      <c r="V51" s="198">
        <v>6.6400000000000006</v>
      </c>
      <c r="W51" s="198">
        <v>6.8920000000000003</v>
      </c>
      <c r="X51" s="198">
        <f t="shared" si="15"/>
        <v>7.1440000000000001</v>
      </c>
      <c r="Y51" s="198">
        <f t="shared" si="16"/>
        <v>8.152000000000001</v>
      </c>
      <c r="Z51" s="198">
        <f t="shared" si="17"/>
        <v>9.6639999999999997</v>
      </c>
      <c r="AA51" s="198">
        <f t="shared" ref="AA51" si="24">AA41+4.57</f>
        <v>11.68</v>
      </c>
      <c r="AB51" s="1"/>
      <c r="AC51" s="1"/>
      <c r="AD51" s="1"/>
      <c r="AE51" s="1"/>
      <c r="AF51" s="1"/>
      <c r="AG51" s="1"/>
      <c r="AH51" s="1"/>
      <c r="AI51" s="1"/>
      <c r="AJ51" s="1"/>
      <c r="AK51" s="1"/>
      <c r="AL51" s="1"/>
    </row>
    <row r="52" spans="1:38" x14ac:dyDescent="0.25">
      <c r="A52" s="1"/>
      <c r="B52" s="217" t="s">
        <v>290</v>
      </c>
      <c r="C52" s="247">
        <f>D6</f>
        <v>0</v>
      </c>
      <c r="D52" s="226">
        <f>C52</f>
        <v>0</v>
      </c>
      <c r="E52" s="247">
        <f>E6</f>
        <v>35</v>
      </c>
      <c r="F52" s="449">
        <f>E52</f>
        <v>35</v>
      </c>
      <c r="G52" s="439">
        <f>F6</f>
        <v>35</v>
      </c>
      <c r="H52" s="457">
        <f>G52</f>
        <v>35</v>
      </c>
      <c r="I52" s="197" t="s">
        <v>234</v>
      </c>
      <c r="J52" s="198">
        <v>7.79</v>
      </c>
      <c r="K52" s="198">
        <v>8.08</v>
      </c>
      <c r="L52" s="198">
        <v>8.52</v>
      </c>
      <c r="M52" s="198">
        <v>8.6999999999999993</v>
      </c>
      <c r="N52" s="203">
        <v>8.7101525779090814</v>
      </c>
      <c r="O52" s="203">
        <v>11.004932145239684</v>
      </c>
      <c r="P52" s="203">
        <v>14.447101496235584</v>
      </c>
      <c r="Q52" s="198">
        <v>19.04</v>
      </c>
      <c r="R52" s="1"/>
      <c r="S52" s="197" t="s">
        <v>234</v>
      </c>
      <c r="T52" s="198">
        <v>9.9050518723994436</v>
      </c>
      <c r="U52" s="198">
        <v>10.010000000000002</v>
      </c>
      <c r="V52" s="198">
        <v>10.210000000000001</v>
      </c>
      <c r="W52" s="198">
        <v>10.6515</v>
      </c>
      <c r="X52" s="198">
        <f t="shared" si="15"/>
        <v>11.093</v>
      </c>
      <c r="Y52" s="198">
        <f t="shared" si="16"/>
        <v>12.859000000000002</v>
      </c>
      <c r="Z52" s="198">
        <f t="shared" si="17"/>
        <v>15.507999999999999</v>
      </c>
      <c r="AA52" s="198">
        <f t="shared" ref="AA52:AA53" si="25">AA43+4.57</f>
        <v>19.04</v>
      </c>
      <c r="AB52" s="1"/>
      <c r="AC52" s="1"/>
      <c r="AD52" s="1"/>
      <c r="AE52" s="1"/>
      <c r="AF52" s="1"/>
      <c r="AG52" s="1"/>
      <c r="AH52" s="1"/>
      <c r="AI52" s="1"/>
      <c r="AJ52" s="1"/>
      <c r="AK52" s="1"/>
      <c r="AL52" s="1"/>
    </row>
    <row r="53" spans="1:38" ht="15.75" thickBot="1" x14ac:dyDescent="0.3">
      <c r="A53" s="1"/>
      <c r="B53" s="219" t="s">
        <v>292</v>
      </c>
      <c r="C53" s="248">
        <f>IF(C29=100, C51-(D6*1.1),
IF(C29=50, C51-(D6*1.1),
IF(C29=25, C51-(D6*1.1),
IF(C29=20, C51-(D6*1.1),
IF(C29=15, C51-(D6*N7),
IF(C29=10, C51-(D6*O7),
IF(C29=5, C51-(D6*P7),
IF(C29=1, C51-(D6*Q7),C51))))))))</f>
        <v>180</v>
      </c>
      <c r="D53" s="223">
        <f>IF(C29=100, D51-(D6*J7),
IF(C29=50, D51-(D6*K7),
IF(C29=25, D51-(D6*L7),
IF(C29=20, D51-(D6*M7),
IF(C29=15, D51-(D6*N7),
IF(C29=10, D51-(D6*O7),
IF(C29=5, D51-(D6*P7),
IF(C29=1, D51-(D6*Q7),C51))))))))</f>
        <v>180</v>
      </c>
      <c r="E53" s="248">
        <f>IF(E29=100, E51-(E6*J7),
IF(E29=50, E51-(E6*K7),
IF(E29=25, E51-(E6*L7),
IF(E29=20, E51-(E6*M7),
IF(E29=15, E51-(E6*N7),
IF(E29=10, E51-(E6*O7),
IF(E29=5, E51-(E6*P7),
IF(E29=1, E51-(E6*Q7),E51))))))))</f>
        <v>293.79999999999995</v>
      </c>
      <c r="F53" s="452">
        <f>IF(E29=100, F51-(E6*J7),
IF(E29=50, F51-(E6*K7),
IF(E29=25, F51-(E6*L7),
IF(E29=20, F51-(E6*M7),
IF(E29=15, F51-(E6*N7),
IF(E29=10, F51-(E6*O7),
IF(E29=5, F51-(E6*P7),
IF(E29=1, F51-(E6*Q7),E51))))))))</f>
        <v>423.49999999999989</v>
      </c>
      <c r="G53" s="437">
        <f>IF(G29=100, G51-(F6*J7),
IF(G29=50, G51-(F6*K7),
IF(G29=25, G51-(F6*L7),
IF(G29=20, G51-(F6*M7),
IF(G29=15, G51-(F6*N7),
IF(G29=10, G51-(F6*O7),
IF(G29=5, G51-(F6*P7),
IF(G29=1, G51-(F6*Q7),G51))))))))</f>
        <v>293.79999999999995</v>
      </c>
      <c r="H53" s="457">
        <f>IF(G29=100, H51-(F6*J7),
IF(G29=50, H51-(F6*K7),
IF(G29=25, H51-(F6*L7),
IF(G29=20, H51-(F6*M7),
IF(G29=15, H51-(F6*N7),
IF(G29=10, H51-(F6*O7),
IF(G29=5, H51-(F6*P7),
IF(G29=1, H51-(F6*Q7),G51))))))))</f>
        <v>423.49999999999989</v>
      </c>
      <c r="I53" s="197" t="s">
        <v>235</v>
      </c>
      <c r="J53" s="198">
        <f>J51+1.75</f>
        <v>6.42</v>
      </c>
      <c r="K53" s="198">
        <f t="shared" ref="K53:L53" si="26">K51+1.75</f>
        <v>6.53</v>
      </c>
      <c r="L53" s="198">
        <f t="shared" si="26"/>
        <v>6.67</v>
      </c>
      <c r="M53" s="198">
        <v>8.9890000000000008</v>
      </c>
      <c r="N53" s="203">
        <v>6.5141525779090816</v>
      </c>
      <c r="O53" s="203">
        <v>9.2969321452396851</v>
      </c>
      <c r="P53" s="203">
        <v>13.471101496235585</v>
      </c>
      <c r="Q53" s="198">
        <v>19.04</v>
      </c>
      <c r="R53" s="1"/>
      <c r="S53" s="197" t="s">
        <v>235</v>
      </c>
      <c r="T53" s="198">
        <v>3.7320000000000002</v>
      </c>
      <c r="U53" s="198">
        <v>3.8</v>
      </c>
      <c r="V53" s="198">
        <v>3.94</v>
      </c>
      <c r="W53" s="198">
        <v>4.29</v>
      </c>
      <c r="X53" s="198">
        <f t="shared" si="15"/>
        <v>5.4499999999999993</v>
      </c>
      <c r="Y53" s="198">
        <f t="shared" si="16"/>
        <v>8.4700000000000006</v>
      </c>
      <c r="Z53" s="198">
        <f t="shared" si="17"/>
        <v>13</v>
      </c>
      <c r="AA53" s="198">
        <f t="shared" si="25"/>
        <v>19.04</v>
      </c>
      <c r="AB53" s="1"/>
      <c r="AC53" s="1"/>
      <c r="AD53" s="1"/>
      <c r="AE53" s="1"/>
      <c r="AF53" s="1"/>
      <c r="AG53" s="1"/>
      <c r="AH53" s="1"/>
      <c r="AI53" s="1"/>
      <c r="AJ53" s="1"/>
      <c r="AK53" s="1"/>
      <c r="AL53" s="1"/>
    </row>
    <row r="54" spans="1:38" ht="15.75" hidden="1" thickBot="1" x14ac:dyDescent="0.3">
      <c r="A54" s="1"/>
      <c r="B54" s="257" t="s">
        <v>296</v>
      </c>
      <c r="C54" s="249" t="e">
        <f>C53-((C53/D4)*0.4*#REF!)</f>
        <v>#REF!</v>
      </c>
      <c r="D54" s="234" t="e">
        <f>D53-((D53/D4)*0.4*#REF!)</f>
        <v>#REF!</v>
      </c>
      <c r="E54" s="249">
        <f>E53-((E53/E4)*0.4*E16)</f>
        <v>293.79999999999995</v>
      </c>
      <c r="F54" s="453">
        <f>F53-((F53/E4)*0.4*E16)</f>
        <v>423.49999999999989</v>
      </c>
      <c r="G54" s="438">
        <f>G53-((G53/F4)*0.4*F16)</f>
        <v>293.79999999999995</v>
      </c>
      <c r="H54" s="438">
        <f>H53-((H53/F4)*0.4*F16)</f>
        <v>423.49999999999989</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1:38" x14ac:dyDescent="0.25">
      <c r="A55" s="1"/>
      <c r="B55" s="250" t="s">
        <v>291</v>
      </c>
      <c r="C55" s="251">
        <f>C53</f>
        <v>180</v>
      </c>
      <c r="D55" s="251">
        <f>D53</f>
        <v>180</v>
      </c>
      <c r="E55" s="251">
        <f t="shared" ref="E55:H55" si="27">E54</f>
        <v>293.79999999999995</v>
      </c>
      <c r="F55" s="454">
        <f t="shared" si="27"/>
        <v>423.49999999999989</v>
      </c>
      <c r="G55" s="459">
        <f t="shared" si="27"/>
        <v>293.79999999999995</v>
      </c>
      <c r="H55" s="458">
        <f t="shared" si="27"/>
        <v>423.49999999999989</v>
      </c>
      <c r="I55" s="496" t="s">
        <v>257</v>
      </c>
      <c r="J55" s="460"/>
      <c r="K55" s="460"/>
      <c r="L55" s="460"/>
      <c r="M55" s="460"/>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1:38" ht="12.75" customHeight="1" thickBot="1" x14ac:dyDescent="0.3">
      <c r="A56" s="1"/>
      <c r="B56" s="252" t="s">
        <v>295</v>
      </c>
      <c r="C56" s="253">
        <f>C55/D4</f>
        <v>1.8</v>
      </c>
      <c r="D56" s="253">
        <f>D55/D4</f>
        <v>1.8</v>
      </c>
      <c r="E56" s="253">
        <f>E55/E4</f>
        <v>7.3449999999999989</v>
      </c>
      <c r="F56" s="455">
        <f>F55/E4</f>
        <v>10.587499999999997</v>
      </c>
      <c r="G56" s="458">
        <f>G55/F4</f>
        <v>7.3449999999999989</v>
      </c>
      <c r="H56" s="458">
        <f>H55/F4</f>
        <v>10.587499999999997</v>
      </c>
      <c r="I56" s="496"/>
      <c r="J56" s="472">
        <v>100</v>
      </c>
      <c r="K56" s="472">
        <v>50</v>
      </c>
      <c r="L56" s="472">
        <v>25</v>
      </c>
      <c r="M56" s="472">
        <v>20</v>
      </c>
      <c r="N56" s="473">
        <v>15</v>
      </c>
      <c r="O56" s="206">
        <v>10</v>
      </c>
      <c r="P56" s="206">
        <v>5</v>
      </c>
      <c r="Q56" s="206">
        <v>1</v>
      </c>
      <c r="R56" s="1"/>
      <c r="S56" s="1"/>
      <c r="T56" s="1"/>
      <c r="U56" s="1"/>
      <c r="V56" s="1"/>
      <c r="W56" s="1"/>
      <c r="X56" s="1"/>
      <c r="Y56" s="1"/>
      <c r="Z56" s="1"/>
      <c r="AA56" s="1"/>
      <c r="AB56" s="1"/>
      <c r="AC56" s="1"/>
      <c r="AD56" s="1"/>
      <c r="AE56" s="1"/>
      <c r="AF56" s="1"/>
      <c r="AG56" s="1"/>
      <c r="AH56" s="1"/>
      <c r="AI56" s="1"/>
      <c r="AJ56" s="1"/>
      <c r="AK56" s="1"/>
      <c r="AL56" s="1"/>
    </row>
    <row r="57" spans="1:38" hidden="1" x14ac:dyDescent="0.25">
      <c r="A57" s="1"/>
      <c r="B57" s="1"/>
      <c r="C57" s="1"/>
      <c r="D57" s="1"/>
      <c r="E57" s="1"/>
      <c r="F57" s="1"/>
      <c r="G57" s="1"/>
      <c r="H57" s="1"/>
      <c r="I57" s="470" t="s">
        <v>21</v>
      </c>
      <c r="J57" s="471">
        <v>1.8</v>
      </c>
      <c r="K57" s="471">
        <v>1.93</v>
      </c>
      <c r="L57" s="471">
        <v>2.0699999999999998</v>
      </c>
      <c r="M57" s="471">
        <v>2.2000000000000002</v>
      </c>
      <c r="N57" s="29">
        <v>2.8</v>
      </c>
      <c r="O57" s="29">
        <v>3.8</v>
      </c>
      <c r="P57" s="29">
        <v>5.3</v>
      </c>
      <c r="Q57" s="29">
        <v>7.11</v>
      </c>
      <c r="R57" s="1"/>
      <c r="S57" s="1"/>
      <c r="T57" s="1"/>
      <c r="U57" s="1"/>
      <c r="V57" s="1"/>
      <c r="W57" s="1"/>
      <c r="X57" s="1"/>
      <c r="Y57" s="1"/>
      <c r="Z57" s="1"/>
      <c r="AA57" s="1"/>
      <c r="AB57" s="1"/>
      <c r="AC57" s="1"/>
      <c r="AD57" s="1"/>
      <c r="AE57" s="1"/>
      <c r="AF57" s="1"/>
      <c r="AG57" s="1"/>
      <c r="AH57" s="1"/>
      <c r="AI57" s="1"/>
      <c r="AJ57" s="1"/>
      <c r="AK57" s="1"/>
      <c r="AL57" s="1"/>
    </row>
    <row r="58" spans="1:38" hidden="1" x14ac:dyDescent="0.25">
      <c r="A58" s="1"/>
      <c r="B58" s="1"/>
      <c r="C58" s="1"/>
      <c r="D58" s="1"/>
      <c r="E58" s="1"/>
      <c r="F58" s="1"/>
      <c r="G58" s="1"/>
      <c r="H58" s="1"/>
      <c r="I58" s="194" t="s">
        <v>233</v>
      </c>
      <c r="J58" s="29">
        <v>3.7320000000000002</v>
      </c>
      <c r="K58" s="29">
        <v>3.8</v>
      </c>
      <c r="L58" s="29">
        <v>3.94</v>
      </c>
      <c r="M58" s="29">
        <v>4.29</v>
      </c>
      <c r="N58" s="29">
        <v>4.63</v>
      </c>
      <c r="O58" s="29">
        <v>5.99</v>
      </c>
      <c r="P58" s="29">
        <v>8.0500000000000007</v>
      </c>
      <c r="Q58" s="29">
        <v>10.79</v>
      </c>
      <c r="R58" s="1"/>
      <c r="S58" s="1"/>
      <c r="T58" s="1"/>
      <c r="U58" s="1"/>
      <c r="V58" s="1"/>
      <c r="W58" s="1"/>
      <c r="X58" s="1"/>
      <c r="Y58" s="1"/>
      <c r="Z58" s="1"/>
      <c r="AA58" s="1"/>
      <c r="AB58" s="1"/>
      <c r="AC58" s="1"/>
      <c r="AD58" s="1"/>
      <c r="AE58" s="1"/>
      <c r="AF58" s="1"/>
      <c r="AG58" s="1"/>
      <c r="AH58" s="1"/>
      <c r="AI58" s="1"/>
      <c r="AJ58" s="1"/>
      <c r="AK58" s="1"/>
      <c r="AL58" s="1"/>
    </row>
    <row r="59" spans="1:38" hidden="1" x14ac:dyDescent="0.25">
      <c r="A59" s="1"/>
      <c r="B59" s="461" t="s">
        <v>407</v>
      </c>
      <c r="C59" s="460"/>
      <c r="D59" s="1"/>
      <c r="E59" s="1"/>
      <c r="F59" s="1"/>
      <c r="G59" s="1"/>
      <c r="H59" s="1"/>
      <c r="I59" s="194" t="s">
        <v>227</v>
      </c>
      <c r="J59" s="29">
        <v>5.3350518723994442</v>
      </c>
      <c r="K59" s="29">
        <v>5.44</v>
      </c>
      <c r="L59" s="29">
        <v>5.64</v>
      </c>
      <c r="M59" s="29">
        <v>6.0810000000000004</v>
      </c>
      <c r="N59" s="29">
        <v>6.52</v>
      </c>
      <c r="O59" s="29">
        <v>8.2889999999999997</v>
      </c>
      <c r="P59" s="29">
        <v>10.938000000000001</v>
      </c>
      <c r="Q59" s="29">
        <v>14.47</v>
      </c>
      <c r="R59" s="1"/>
      <c r="S59" s="1"/>
      <c r="T59" s="1"/>
      <c r="U59" s="1"/>
      <c r="V59" s="1"/>
      <c r="W59" s="1"/>
      <c r="X59" s="1"/>
      <c r="Y59" s="1"/>
      <c r="Z59" s="1"/>
      <c r="AA59" s="1"/>
      <c r="AB59" s="1"/>
      <c r="AC59" s="1"/>
      <c r="AD59" s="1"/>
      <c r="AE59" s="1"/>
      <c r="AF59" s="1"/>
      <c r="AG59" s="1"/>
      <c r="AH59" s="1"/>
      <c r="AI59" s="1"/>
      <c r="AJ59" s="1"/>
      <c r="AK59" s="1"/>
      <c r="AL59" s="1"/>
    </row>
    <row r="60" spans="1:38" hidden="1" x14ac:dyDescent="0.25">
      <c r="A60" s="1"/>
      <c r="B60" s="461"/>
      <c r="C60" s="460"/>
      <c r="D60" s="1"/>
      <c r="E60" s="1"/>
      <c r="F60" s="1"/>
      <c r="G60" s="1"/>
      <c r="H60" s="1"/>
      <c r="I60" s="194" t="s">
        <v>228</v>
      </c>
      <c r="J60" s="29">
        <f>J57+1.75</f>
        <v>3.55</v>
      </c>
      <c r="K60" s="29">
        <f t="shared" ref="K60:L60" si="28">K57+1.75</f>
        <v>3.6799999999999997</v>
      </c>
      <c r="L60" s="29">
        <f t="shared" si="28"/>
        <v>3.82</v>
      </c>
      <c r="M60" s="29">
        <v>4.3499999999999996</v>
      </c>
      <c r="N60" s="29">
        <v>4.88</v>
      </c>
      <c r="O60" s="29">
        <v>7.02</v>
      </c>
      <c r="P60" s="29">
        <v>10.210000000000001</v>
      </c>
      <c r="Q60" s="29">
        <f>Q57+7.36</f>
        <v>14.47</v>
      </c>
      <c r="R60" s="1"/>
      <c r="S60" s="1"/>
      <c r="T60" s="1"/>
      <c r="U60" s="1"/>
      <c r="V60" s="1"/>
      <c r="W60" s="1"/>
      <c r="X60" s="1"/>
      <c r="Y60" s="1"/>
      <c r="Z60" s="1"/>
      <c r="AA60" s="1"/>
      <c r="AB60" s="1"/>
      <c r="AC60" s="1"/>
      <c r="AD60" s="1"/>
      <c r="AE60" s="1"/>
      <c r="AF60" s="1"/>
      <c r="AG60" s="1"/>
      <c r="AH60" s="1"/>
      <c r="AI60" s="1"/>
      <c r="AJ60" s="1"/>
      <c r="AK60" s="1"/>
      <c r="AL60" s="1"/>
    </row>
    <row r="61" spans="1:38" hidden="1" x14ac:dyDescent="0.25">
      <c r="A61" s="1"/>
      <c r="B61" s="461"/>
      <c r="C61" s="460"/>
      <c r="D61" s="1"/>
      <c r="E61" s="1"/>
      <c r="F61" s="1"/>
      <c r="G61" s="1"/>
      <c r="H61" s="1"/>
      <c r="I61" s="195" t="s">
        <v>236</v>
      </c>
      <c r="J61" s="198">
        <v>2.9</v>
      </c>
      <c r="K61" s="198">
        <v>3</v>
      </c>
      <c r="L61" s="198">
        <v>3.13</v>
      </c>
      <c r="M61" s="198">
        <v>3.33</v>
      </c>
      <c r="N61" s="198">
        <v>3.56</v>
      </c>
      <c r="O61" s="198">
        <v>4.3</v>
      </c>
      <c r="P61" s="198">
        <v>5.5</v>
      </c>
      <c r="Q61" s="198">
        <v>7.11</v>
      </c>
      <c r="R61" s="1"/>
      <c r="S61" s="1"/>
      <c r="T61" s="1"/>
      <c r="U61" s="1"/>
      <c r="V61" s="1"/>
      <c r="W61" s="1"/>
      <c r="X61" s="1"/>
      <c r="Y61" s="1"/>
      <c r="Z61" s="1"/>
      <c r="AA61" s="1"/>
      <c r="AB61" s="1"/>
      <c r="AC61" s="1"/>
      <c r="AD61" s="1"/>
      <c r="AE61" s="1"/>
      <c r="AF61" s="1"/>
      <c r="AG61" s="1"/>
      <c r="AH61" s="1"/>
      <c r="AI61" s="1"/>
      <c r="AJ61" s="1"/>
      <c r="AK61" s="1"/>
      <c r="AL61" s="1"/>
    </row>
    <row r="62" spans="1:38" hidden="1" x14ac:dyDescent="0.25">
      <c r="A62" s="1"/>
      <c r="B62" s="461" t="s">
        <v>408</v>
      </c>
      <c r="C62" s="456">
        <f>IF(((D4+E4+F4)&lt;=4),1,
IF(AND((D4+E4+F4)&gt;=5,(D4+E4+F4)&lt;=9),5,
IF(AND((D4+E4+F4)&gt;=10,(D4+E4+F4)&lt;=14),10,
IF(AND((D4+E4+F4)&gt;=15,(D4+E4+F4)&lt;=19),15,
IF(AND((D4+E4+F4)&gt;=20,(D4+E4+F4)&lt;=24),20,
IF(AND((D4+E4+F4)&gt;=25,(D4+E4+F4)&lt;=49),25,
IF(AND((D4+E4+F4)&gt;=50,(D4+E4+F4)&lt;=80),50,
IF(AND((D4+E4+F4)&gt;=81,(D4+E4+F4)&lt;=1001),100,"N/A"))))))))</f>
        <v>100</v>
      </c>
      <c r="D62" s="1"/>
      <c r="E62" s="1"/>
      <c r="F62" s="1"/>
      <c r="G62" s="1"/>
      <c r="H62" s="1"/>
      <c r="I62" s="195" t="s">
        <v>237</v>
      </c>
      <c r="J62" s="198">
        <v>5.3350518723994442</v>
      </c>
      <c r="K62" s="198">
        <v>5.44</v>
      </c>
      <c r="L62" s="198">
        <v>5.64</v>
      </c>
      <c r="M62" s="198">
        <v>6.0810000000000004</v>
      </c>
      <c r="N62" s="198">
        <v>6.52</v>
      </c>
      <c r="O62" s="198">
        <v>8.2889999999999997</v>
      </c>
      <c r="P62" s="198">
        <v>10.938000000000001</v>
      </c>
      <c r="Q62" s="198">
        <v>14.47</v>
      </c>
      <c r="R62" s="1"/>
      <c r="S62" s="1"/>
      <c r="T62" s="1"/>
      <c r="U62" s="1"/>
      <c r="V62" s="1"/>
      <c r="W62" s="1"/>
      <c r="X62" s="1"/>
      <c r="Y62" s="1"/>
      <c r="Z62" s="1"/>
      <c r="AA62" s="1"/>
      <c r="AB62" s="1"/>
      <c r="AC62" s="1"/>
      <c r="AD62" s="1"/>
      <c r="AE62" s="1"/>
      <c r="AF62" s="1"/>
      <c r="AG62" s="1"/>
      <c r="AH62" s="1"/>
      <c r="AI62" s="1"/>
      <c r="AJ62" s="1"/>
      <c r="AK62" s="1"/>
      <c r="AL62" s="1"/>
    </row>
    <row r="63" spans="1:38" hidden="1" x14ac:dyDescent="0.25">
      <c r="A63" s="1"/>
      <c r="B63" s="461" t="s">
        <v>412</v>
      </c>
      <c r="C63" s="458">
        <f>C55+E55+G55</f>
        <v>767.59999999999991</v>
      </c>
      <c r="D63" s="1"/>
      <c r="E63" s="1"/>
      <c r="F63" s="1"/>
      <c r="G63" s="1"/>
      <c r="H63" s="1"/>
      <c r="I63" s="195"/>
      <c r="J63" s="198"/>
      <c r="K63" s="198"/>
      <c r="L63" s="198"/>
      <c r="M63" s="198"/>
      <c r="N63" s="198"/>
      <c r="O63" s="198"/>
      <c r="P63" s="198"/>
      <c r="Q63" s="198"/>
      <c r="R63" s="1"/>
      <c r="S63" s="1"/>
      <c r="T63" s="1"/>
      <c r="U63" s="1"/>
      <c r="V63" s="1"/>
      <c r="W63" s="1"/>
      <c r="X63" s="1"/>
      <c r="Y63" s="1"/>
      <c r="Z63" s="1"/>
      <c r="AA63" s="1"/>
      <c r="AB63" s="1"/>
      <c r="AC63" s="1"/>
      <c r="AD63" s="1"/>
      <c r="AE63" s="1"/>
      <c r="AF63" s="1"/>
      <c r="AG63" s="1"/>
      <c r="AH63" s="1"/>
      <c r="AI63" s="1"/>
      <c r="AJ63" s="1"/>
      <c r="AK63" s="1"/>
      <c r="AL63" s="1"/>
    </row>
    <row r="64" spans="1:38" hidden="1" x14ac:dyDescent="0.25">
      <c r="A64" s="1"/>
      <c r="B64" s="461" t="s">
        <v>409</v>
      </c>
      <c r="C64" s="456">
        <f>IF((C62=100),(C55+E55+G55)*0.5,
IF((C62=50),(C55+E55+G55)*0.6,
IF((C62=25),(C55+E55+G55)*0.7,
IF((C62=20),(C55+E55+G55)*0.8,
IF((C62=15),(C55+E55+G55)*0.9,
IF((C62=10),(C55+E55+G55)*0.95,
IF((C62=5),(C55+E55+G55)*0.97,
IF((C62=1),(C55+E55+G55)*1, “nope”))))))))</f>
        <v>383.79999999999995</v>
      </c>
      <c r="D64" s="1"/>
      <c r="E64" s="1"/>
      <c r="F64" s="1"/>
      <c r="G64" s="1"/>
      <c r="H64" s="1"/>
      <c r="I64" s="195" t="s">
        <v>238</v>
      </c>
      <c r="J64" s="198">
        <v>3.55</v>
      </c>
      <c r="K64" s="198">
        <v>3.6799999999999997</v>
      </c>
      <c r="L64" s="198">
        <v>3.82</v>
      </c>
      <c r="M64" s="198">
        <v>4.3499999999999996</v>
      </c>
      <c r="N64" s="198">
        <v>4.88</v>
      </c>
      <c r="O64" s="198">
        <v>7.02</v>
      </c>
      <c r="P64" s="198">
        <v>10.210000000000001</v>
      </c>
      <c r="Q64" s="198">
        <v>14.47</v>
      </c>
      <c r="R64" s="1"/>
      <c r="S64" s="1"/>
      <c r="T64" s="1"/>
      <c r="U64" s="1"/>
      <c r="V64" s="1"/>
      <c r="W64" s="1"/>
      <c r="X64" s="1"/>
      <c r="Y64" s="1"/>
      <c r="Z64" s="1"/>
      <c r="AA64" s="1"/>
      <c r="AB64" s="1"/>
      <c r="AC64" s="1"/>
      <c r="AD64" s="1"/>
      <c r="AE64" s="1"/>
      <c r="AF64" s="1"/>
      <c r="AG64" s="1"/>
      <c r="AH64" s="1"/>
      <c r="AI64" s="1"/>
      <c r="AJ64" s="1"/>
      <c r="AK64" s="1"/>
      <c r="AL64" s="1"/>
    </row>
    <row r="65" spans="1:38" hidden="1" x14ac:dyDescent="0.25">
      <c r="A65" s="1"/>
      <c r="B65" s="461" t="s">
        <v>410</v>
      </c>
      <c r="C65" s="458">
        <f>D55+F55+H55</f>
        <v>1026.9999999999998</v>
      </c>
      <c r="D65" s="1"/>
      <c r="E65" s="1"/>
      <c r="F65" s="1"/>
      <c r="G65" s="1"/>
      <c r="H65" s="1"/>
      <c r="I65" s="196" t="s">
        <v>239</v>
      </c>
      <c r="J65" s="198">
        <v>4.7</v>
      </c>
      <c r="K65" s="198">
        <v>4.8</v>
      </c>
      <c r="L65" s="198">
        <v>5.05</v>
      </c>
      <c r="M65" s="198">
        <v>5.19</v>
      </c>
      <c r="N65" s="198">
        <v>5.34</v>
      </c>
      <c r="O65" s="198">
        <v>5.93</v>
      </c>
      <c r="P65" s="198">
        <v>6.81</v>
      </c>
      <c r="Q65" s="198">
        <v>8</v>
      </c>
      <c r="R65" s="1"/>
      <c r="S65" s="1"/>
      <c r="T65" s="1"/>
      <c r="U65" s="1"/>
      <c r="V65" s="1"/>
      <c r="W65" s="1"/>
      <c r="X65" s="1"/>
      <c r="Y65" s="1"/>
      <c r="Z65" s="1"/>
      <c r="AA65" s="1"/>
      <c r="AB65" s="1"/>
      <c r="AC65" s="1"/>
      <c r="AD65" s="1"/>
      <c r="AE65" s="1"/>
      <c r="AF65" s="1"/>
      <c r="AG65" s="1"/>
      <c r="AH65" s="1"/>
      <c r="AI65" s="1"/>
      <c r="AJ65" s="1"/>
      <c r="AK65" s="1"/>
      <c r="AL65" s="1"/>
    </row>
    <row r="66" spans="1:38" hidden="1" x14ac:dyDescent="0.25">
      <c r="A66" s="1"/>
      <c r="B66" s="461" t="s">
        <v>411</v>
      </c>
      <c r="C66" s="456">
        <f>IF((C62=100),(D55+F55+H55)*0.5,
IF((C62=50),(D55+F55+H55)*0.6,
IF((C62=25),(D55+F55+H55)*0.7,
IF((C62=20),(D55+F55+H55)*0.8,
IF((C62=15),(D55+F55+H55)*0.9,
IF((C62=10),(D55+F55+H55)*0.95,
IF((C62=5),(D55+F55+H55)*0.97,
IF((C62=1),(D55+F55+H55)*1, “nope”))))))))</f>
        <v>513.49999999999989</v>
      </c>
      <c r="D66" s="1"/>
      <c r="E66" s="1"/>
      <c r="F66" s="1"/>
      <c r="G66" s="1"/>
      <c r="H66" s="1"/>
      <c r="I66" s="196" t="s">
        <v>240</v>
      </c>
      <c r="J66" s="198">
        <v>5.3350518723994442</v>
      </c>
      <c r="K66" s="198">
        <v>5.44</v>
      </c>
      <c r="L66" s="198">
        <v>5.64</v>
      </c>
      <c r="M66" s="198">
        <v>6.0810000000000004</v>
      </c>
      <c r="N66" s="198">
        <v>6.52</v>
      </c>
      <c r="O66" s="198">
        <v>8.2889999999999997</v>
      </c>
      <c r="P66" s="198">
        <v>10.938000000000001</v>
      </c>
      <c r="Q66" s="198">
        <v>14.47</v>
      </c>
      <c r="R66" s="1"/>
      <c r="S66" s="1"/>
      <c r="T66" s="1"/>
      <c r="U66" s="1"/>
      <c r="V66" s="1"/>
      <c r="W66" s="1"/>
      <c r="X66" s="1"/>
      <c r="Y66" s="1"/>
      <c r="Z66" s="1"/>
      <c r="AA66" s="1"/>
      <c r="AB66" s="1"/>
      <c r="AC66" s="1"/>
      <c r="AD66" s="1"/>
      <c r="AE66" s="1"/>
      <c r="AF66" s="1"/>
      <c r="AG66" s="1"/>
      <c r="AH66" s="1"/>
      <c r="AI66" s="1"/>
      <c r="AJ66" s="1"/>
      <c r="AK66" s="1"/>
      <c r="AL66" s="1"/>
    </row>
    <row r="67" spans="1:38" hidden="1" x14ac:dyDescent="0.25">
      <c r="A67" s="1"/>
      <c r="B67" s="1"/>
      <c r="C67" s="1"/>
      <c r="D67" s="1"/>
      <c r="E67" s="1"/>
      <c r="F67" s="1"/>
      <c r="G67" s="1"/>
      <c r="H67" s="1"/>
      <c r="I67" s="196" t="s">
        <v>241</v>
      </c>
      <c r="J67" s="198">
        <v>3.55</v>
      </c>
      <c r="K67" s="198">
        <v>3.6799999999999997</v>
      </c>
      <c r="L67" s="198">
        <v>3.82</v>
      </c>
      <c r="M67" s="198">
        <v>4.3499999999999996</v>
      </c>
      <c r="N67" s="198">
        <v>4.88</v>
      </c>
      <c r="O67" s="198">
        <v>7.02</v>
      </c>
      <c r="P67" s="198">
        <v>10.210000000000001</v>
      </c>
      <c r="Q67" s="198">
        <v>14.47</v>
      </c>
      <c r="R67" s="1"/>
      <c r="S67" s="1"/>
      <c r="T67" s="1"/>
      <c r="U67" s="1"/>
      <c r="V67" s="1"/>
      <c r="W67" s="1"/>
      <c r="X67" s="1"/>
      <c r="Y67" s="1"/>
      <c r="Z67" s="1"/>
      <c r="AA67" s="1"/>
      <c r="AB67" s="1"/>
      <c r="AC67" s="1"/>
      <c r="AD67" s="1"/>
      <c r="AE67" s="1"/>
      <c r="AF67" s="1"/>
      <c r="AG67" s="1"/>
      <c r="AH67" s="1"/>
      <c r="AI67" s="1"/>
      <c r="AJ67" s="1"/>
      <c r="AK67" s="1"/>
      <c r="AL67" s="1"/>
    </row>
    <row r="68" spans="1:38" hidden="1" x14ac:dyDescent="0.25">
      <c r="A68" s="1"/>
      <c r="B68" s="1"/>
      <c r="C68" s="1"/>
      <c r="D68" s="1"/>
      <c r="E68" s="1"/>
      <c r="F68" s="1"/>
      <c r="G68" s="1"/>
      <c r="H68" s="1"/>
      <c r="I68" s="197" t="s">
        <v>242</v>
      </c>
      <c r="J68" s="198">
        <v>9.23</v>
      </c>
      <c r="K68" s="198">
        <v>9.6</v>
      </c>
      <c r="L68" s="198">
        <v>10.15</v>
      </c>
      <c r="M68" s="198">
        <v>10.44</v>
      </c>
      <c r="N68" s="198">
        <v>10.6</v>
      </c>
      <c r="O68" s="198">
        <v>11.9</v>
      </c>
      <c r="P68" s="198">
        <v>13.66</v>
      </c>
      <c r="Q68" s="198">
        <v>16</v>
      </c>
      <c r="R68" s="1"/>
      <c r="S68" s="1"/>
      <c r="T68" s="1"/>
      <c r="U68" s="1"/>
      <c r="V68" s="1"/>
      <c r="W68" s="1"/>
      <c r="X68" s="1"/>
      <c r="Y68" s="1"/>
      <c r="Z68" s="1"/>
      <c r="AA68" s="1"/>
      <c r="AB68" s="1"/>
      <c r="AC68" s="1"/>
      <c r="AD68" s="1"/>
      <c r="AE68" s="1"/>
      <c r="AF68" s="1"/>
      <c r="AG68" s="1"/>
      <c r="AH68" s="1"/>
      <c r="AI68" s="1"/>
      <c r="AJ68" s="1"/>
      <c r="AK68" s="1"/>
      <c r="AL68" s="1"/>
    </row>
    <row r="69" spans="1:38" hidden="1" x14ac:dyDescent="0.25">
      <c r="A69" s="1"/>
      <c r="B69" s="1"/>
      <c r="C69" s="1"/>
      <c r="D69" s="1"/>
      <c r="E69" s="1"/>
      <c r="F69" s="1"/>
      <c r="G69" s="1"/>
      <c r="H69" s="1"/>
      <c r="I69" s="197" t="s">
        <v>243</v>
      </c>
      <c r="J69" s="198">
        <v>9.23</v>
      </c>
      <c r="K69" s="198">
        <v>9.6</v>
      </c>
      <c r="L69" s="198">
        <v>10.15</v>
      </c>
      <c r="M69" s="198">
        <v>10.44</v>
      </c>
      <c r="N69" s="198">
        <v>10.6</v>
      </c>
      <c r="O69" s="198">
        <v>11.9</v>
      </c>
      <c r="P69" s="198">
        <v>13.66</v>
      </c>
      <c r="Q69" s="198">
        <v>16</v>
      </c>
      <c r="R69" s="1"/>
      <c r="S69" s="1"/>
      <c r="T69" s="1"/>
      <c r="U69" s="1"/>
      <c r="V69" s="1"/>
      <c r="W69" s="1"/>
      <c r="X69" s="1"/>
      <c r="Y69" s="1"/>
      <c r="Z69" s="1"/>
      <c r="AA69" s="1"/>
      <c r="AB69" s="1"/>
      <c r="AC69" s="1"/>
      <c r="AD69" s="1"/>
      <c r="AE69" s="1"/>
      <c r="AF69" s="1"/>
      <c r="AG69" s="1"/>
      <c r="AH69" s="1"/>
      <c r="AI69" s="1"/>
      <c r="AJ69" s="1"/>
      <c r="AK69" s="1"/>
      <c r="AL69" s="1"/>
    </row>
    <row r="70" spans="1:38" hidden="1" x14ac:dyDescent="0.25">
      <c r="A70" s="1"/>
      <c r="B70" s="1"/>
      <c r="C70" s="1"/>
      <c r="D70" s="1"/>
      <c r="E70" s="1"/>
      <c r="F70" s="1"/>
      <c r="G70" s="1"/>
      <c r="H70" s="1"/>
      <c r="I70" s="197" t="s">
        <v>244</v>
      </c>
      <c r="J70" s="198">
        <v>9.23</v>
      </c>
      <c r="K70" s="198">
        <v>9.6</v>
      </c>
      <c r="L70" s="198">
        <v>10.15</v>
      </c>
      <c r="M70" s="198">
        <v>10.44</v>
      </c>
      <c r="N70" s="198">
        <v>10.6</v>
      </c>
      <c r="O70" s="198">
        <v>11.9</v>
      </c>
      <c r="P70" s="198">
        <v>13.66</v>
      </c>
      <c r="Q70" s="198">
        <v>16</v>
      </c>
      <c r="R70" s="1"/>
      <c r="S70" s="1"/>
      <c r="T70" s="1"/>
      <c r="U70" s="1"/>
      <c r="V70" s="1"/>
      <c r="W70" s="1"/>
      <c r="X70" s="1"/>
      <c r="Y70" s="1"/>
      <c r="Z70" s="1"/>
      <c r="AA70" s="1"/>
      <c r="AB70" s="1"/>
      <c r="AC70" s="1"/>
      <c r="AD70" s="1"/>
      <c r="AE70" s="1"/>
      <c r="AF70" s="1"/>
      <c r="AG70" s="1"/>
      <c r="AH70" s="1"/>
      <c r="AI70" s="1"/>
      <c r="AJ70" s="1"/>
      <c r="AK70" s="1"/>
      <c r="AL70" s="1"/>
    </row>
    <row r="71" spans="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sheetData>
  <sheetProtection password="CC2B" sheet="1" objects="1" scenarios="1"/>
  <protectedRanges>
    <protectedRange sqref="D4:D13" name="Range1"/>
  </protectedRanges>
  <mergeCells count="7">
    <mergeCell ref="I55:I56"/>
    <mergeCell ref="S22:S24"/>
    <mergeCell ref="I39:I40"/>
    <mergeCell ref="I23:I24"/>
    <mergeCell ref="I3:I6"/>
    <mergeCell ref="S3:S6"/>
    <mergeCell ref="S39:S40"/>
  </mergeCells>
  <dataValidations count="3">
    <dataValidation type="whole" allowBlank="1" showInputMessage="1" showErrorMessage="1" sqref="E4:F4" xr:uid="{F7EE9567-B3F5-4F52-8794-A86E23D7AE4B}">
      <formula1>1</formula1>
      <formula2>100</formula2>
    </dataValidation>
    <dataValidation type="whole" allowBlank="1" showInputMessage="1" showErrorMessage="1" sqref="D8:F8 D10:F10 D12:F12 D14:F14 D5:F6 E16:F16" xr:uid="{4AECCB7A-4835-4BB8-8B43-CAA18238D8E7}">
      <formula1>0</formula1>
      <formula2>100</formula2>
    </dataValidation>
    <dataValidation type="whole" allowBlank="1" showInputMessage="1" showErrorMessage="1" sqref="D4" xr:uid="{A33343FC-8DF7-4089-8380-29F8A7DC1056}">
      <formula1>20</formula1>
      <formula2>100</formula2>
    </dataValidation>
  </dataValidations>
  <pageMargins left="0.7" right="0.7" top="0.75" bottom="0.75" header="0.3" footer="0.3"/>
  <pageSetup paperSize="9" orientation="portrait" r:id="rId1"/>
  <headerFooter>
    <oddFooter>&amp;C&amp;1#&amp;"Calibri"&amp;12&amp;K008000Internal Use</oddFooter>
  </headerFooter>
  <ignoredErrors>
    <ignoredError sqref="D51 G29:G33 G47:G50 E47:E50 F51 H51 E52 G52 E29:E33"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36427F2-0E66-40F0-BE7E-ACA4404171D9}">
          <x14:formula1>
            <xm:f>Data!$B$10:$B$13</xm:f>
          </x14:formula1>
          <xm:sqref>D15:F15 D9:F9 D11:F11 D13:F13</xm:sqref>
        </x14:dataValidation>
        <x14:dataValidation type="list" allowBlank="1" showInputMessage="1" showErrorMessage="1" xr:uid="{EECA884F-6746-4082-9DDD-78CA083BAABD}">
          <x14:formula1>
            <xm:f>Data!$B$7:$B$8</xm:f>
          </x14:formula1>
          <xm:sqref>D7:F7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646A-4A4E-4850-9FDC-0D972DE3EDD4}">
  <sheetPr>
    <tabColor theme="4"/>
  </sheetPr>
  <dimension ref="A1:G64"/>
  <sheetViews>
    <sheetView zoomScale="80" zoomScaleNormal="80" workbookViewId="0">
      <selection activeCell="B15" sqref="B15"/>
    </sheetView>
  </sheetViews>
  <sheetFormatPr defaultRowHeight="15" x14ac:dyDescent="0.25"/>
  <cols>
    <col min="2" max="2" width="116.140625" customWidth="1"/>
    <col min="4" max="4" width="51.85546875" customWidth="1"/>
    <col min="5" max="5" width="14.85546875" customWidth="1"/>
    <col min="6" max="6" width="14.7109375" customWidth="1"/>
  </cols>
  <sheetData>
    <row r="1" spans="1:7" ht="15.75" thickBot="1" x14ac:dyDescent="0.3">
      <c r="A1" s="1"/>
      <c r="B1" s="1"/>
      <c r="C1" s="1"/>
      <c r="D1" s="1"/>
      <c r="E1" s="1"/>
      <c r="F1" s="1"/>
      <c r="G1" s="1"/>
    </row>
    <row r="2" spans="1:7" ht="15.75" thickBot="1" x14ac:dyDescent="0.3">
      <c r="A2" s="1"/>
      <c r="B2" s="261" t="s">
        <v>310</v>
      </c>
      <c r="C2" s="1"/>
      <c r="D2" s="261" t="s">
        <v>333</v>
      </c>
      <c r="E2" s="228" t="s">
        <v>267</v>
      </c>
      <c r="F2" s="192" t="s">
        <v>336</v>
      </c>
      <c r="G2" s="1"/>
    </row>
    <row r="3" spans="1:7" x14ac:dyDescent="0.25">
      <c r="A3" s="1"/>
      <c r="B3" s="263" t="s">
        <v>298</v>
      </c>
      <c r="C3" s="1"/>
      <c r="D3" s="208" t="s">
        <v>298</v>
      </c>
      <c r="E3" s="236"/>
      <c r="F3" s="270"/>
      <c r="G3" s="1"/>
    </row>
    <row r="4" spans="1:7" x14ac:dyDescent="0.25">
      <c r="A4" s="1"/>
      <c r="B4" s="209" t="s">
        <v>311</v>
      </c>
      <c r="C4" s="1"/>
      <c r="D4" s="209" t="s">
        <v>299</v>
      </c>
      <c r="E4" s="237">
        <v>7.36</v>
      </c>
      <c r="F4" s="221">
        <v>7.36</v>
      </c>
      <c r="G4" s="1"/>
    </row>
    <row r="5" spans="1:7" x14ac:dyDescent="0.25">
      <c r="A5" s="1"/>
      <c r="B5" s="209" t="s">
        <v>320</v>
      </c>
      <c r="C5" s="1"/>
      <c r="D5" s="209" t="s">
        <v>300</v>
      </c>
      <c r="E5" s="237">
        <v>3.68</v>
      </c>
      <c r="F5" s="221">
        <v>3.68</v>
      </c>
      <c r="G5" s="1"/>
    </row>
    <row r="6" spans="1:7" x14ac:dyDescent="0.25">
      <c r="A6" s="1"/>
      <c r="B6" s="210" t="s">
        <v>313</v>
      </c>
      <c r="C6" s="1"/>
      <c r="D6" s="210" t="s">
        <v>301</v>
      </c>
      <c r="E6" s="238"/>
      <c r="F6" s="230"/>
      <c r="G6" s="1"/>
    </row>
    <row r="7" spans="1:7" x14ac:dyDescent="0.25">
      <c r="A7" s="1"/>
      <c r="B7" s="211" t="s">
        <v>312</v>
      </c>
      <c r="C7" s="1"/>
      <c r="D7" s="211" t="s">
        <v>303</v>
      </c>
      <c r="E7" s="239">
        <v>2.41</v>
      </c>
      <c r="F7" s="222">
        <v>3.38</v>
      </c>
      <c r="G7" s="1"/>
    </row>
    <row r="8" spans="1:7" x14ac:dyDescent="0.25">
      <c r="A8" s="1"/>
      <c r="B8" s="211" t="s">
        <v>335</v>
      </c>
      <c r="C8" s="1"/>
      <c r="D8" s="211" t="s">
        <v>302</v>
      </c>
      <c r="E8" s="239">
        <v>4.68</v>
      </c>
      <c r="F8" s="222">
        <v>6.55</v>
      </c>
      <c r="G8" s="1"/>
    </row>
    <row r="9" spans="1:7" x14ac:dyDescent="0.25">
      <c r="A9" s="1"/>
      <c r="B9" s="211" t="s">
        <v>318</v>
      </c>
      <c r="C9" s="1"/>
      <c r="D9" s="211" t="s">
        <v>304</v>
      </c>
      <c r="E9" s="239">
        <v>9.3699999999999992</v>
      </c>
      <c r="F9" s="222">
        <v>13.12</v>
      </c>
      <c r="G9" s="1"/>
    </row>
    <row r="10" spans="1:7" x14ac:dyDescent="0.25">
      <c r="A10" s="1"/>
      <c r="B10" s="212" t="s">
        <v>308</v>
      </c>
      <c r="C10" s="1"/>
      <c r="D10" s="212" t="s">
        <v>308</v>
      </c>
      <c r="E10" s="240"/>
      <c r="F10" s="231"/>
      <c r="G10" s="1"/>
    </row>
    <row r="11" spans="1:7" x14ac:dyDescent="0.25">
      <c r="A11" s="1"/>
      <c r="B11" s="213" t="s">
        <v>312</v>
      </c>
      <c r="C11" s="1"/>
      <c r="D11" s="213" t="s">
        <v>305</v>
      </c>
      <c r="E11" s="241">
        <v>2.6</v>
      </c>
      <c r="F11" s="229">
        <v>2.6</v>
      </c>
      <c r="G11" s="1"/>
    </row>
    <row r="12" spans="1:7" x14ac:dyDescent="0.25">
      <c r="A12" s="1"/>
      <c r="B12" s="213" t="s">
        <v>335</v>
      </c>
      <c r="C12" s="1"/>
      <c r="D12" s="213" t="s">
        <v>306</v>
      </c>
      <c r="E12" s="241">
        <v>3.8</v>
      </c>
      <c r="F12" s="229">
        <v>3.8</v>
      </c>
      <c r="G12" s="1"/>
    </row>
    <row r="13" spans="1:7" x14ac:dyDescent="0.25">
      <c r="A13" s="1"/>
      <c r="B13" s="213" t="s">
        <v>314</v>
      </c>
      <c r="C13" s="1"/>
      <c r="D13" s="213" t="s">
        <v>307</v>
      </c>
      <c r="E13" s="241">
        <v>6.5</v>
      </c>
      <c r="F13" s="229">
        <v>6.5</v>
      </c>
      <c r="G13" s="1"/>
    </row>
    <row r="14" spans="1:7" x14ac:dyDescent="0.25">
      <c r="A14" s="1"/>
      <c r="B14" s="214" t="s">
        <v>309</v>
      </c>
      <c r="C14" s="1"/>
      <c r="D14" s="214" t="s">
        <v>309</v>
      </c>
      <c r="E14" s="242"/>
      <c r="F14" s="232"/>
      <c r="G14" s="1"/>
    </row>
    <row r="15" spans="1:7" x14ac:dyDescent="0.25">
      <c r="A15" s="1"/>
      <c r="B15" s="215" t="s">
        <v>312</v>
      </c>
      <c r="C15" s="1"/>
      <c r="D15" s="215" t="s">
        <v>326</v>
      </c>
      <c r="E15" s="243">
        <v>1.22</v>
      </c>
      <c r="F15" s="225">
        <v>1.22</v>
      </c>
      <c r="G15" s="1"/>
    </row>
    <row r="16" spans="1:7" x14ac:dyDescent="0.25">
      <c r="A16" s="1"/>
      <c r="B16" s="215" t="s">
        <v>335</v>
      </c>
      <c r="C16" s="1"/>
      <c r="D16" s="215" t="s">
        <v>327</v>
      </c>
      <c r="E16" s="243">
        <v>2.69</v>
      </c>
      <c r="F16" s="225">
        <v>2.69</v>
      </c>
      <c r="G16" s="1"/>
    </row>
    <row r="17" spans="1:7" x14ac:dyDescent="0.25">
      <c r="A17" s="1"/>
      <c r="B17" s="215" t="s">
        <v>315</v>
      </c>
      <c r="C17" s="1"/>
      <c r="D17" s="215" t="s">
        <v>328</v>
      </c>
      <c r="E17" s="243">
        <v>4.57</v>
      </c>
      <c r="F17" s="225">
        <v>4.57</v>
      </c>
      <c r="G17" s="1"/>
    </row>
    <row r="18" spans="1:7" x14ac:dyDescent="0.25">
      <c r="A18" s="1"/>
      <c r="B18" s="215" t="s">
        <v>317</v>
      </c>
      <c r="C18" s="1"/>
      <c r="D18" s="216" t="s">
        <v>329</v>
      </c>
      <c r="E18" s="244"/>
      <c r="F18" s="233"/>
      <c r="G18" s="1"/>
    </row>
    <row r="19" spans="1:7" x14ac:dyDescent="0.25">
      <c r="A19" s="1"/>
      <c r="B19" s="216" t="s">
        <v>334</v>
      </c>
      <c r="C19" s="1"/>
      <c r="D19" s="217" t="s">
        <v>330</v>
      </c>
      <c r="E19" s="245">
        <v>5</v>
      </c>
      <c r="F19" s="226">
        <v>5</v>
      </c>
      <c r="G19" s="1"/>
    </row>
    <row r="20" spans="1:7" x14ac:dyDescent="0.25">
      <c r="A20" s="1"/>
      <c r="B20" s="217" t="s">
        <v>312</v>
      </c>
      <c r="C20" s="1"/>
      <c r="D20" s="217" t="s">
        <v>331</v>
      </c>
      <c r="E20" s="245">
        <v>8</v>
      </c>
      <c r="F20" s="226">
        <v>8</v>
      </c>
      <c r="G20" s="1"/>
    </row>
    <row r="21" spans="1:7" ht="15.75" thickBot="1" x14ac:dyDescent="0.3">
      <c r="A21" s="1"/>
      <c r="B21" s="217" t="s">
        <v>335</v>
      </c>
      <c r="C21" s="1"/>
      <c r="D21" s="267" t="s">
        <v>332</v>
      </c>
      <c r="E21" s="268">
        <v>16</v>
      </c>
      <c r="F21" s="269">
        <v>16</v>
      </c>
      <c r="G21" s="1"/>
    </row>
    <row r="22" spans="1:7" x14ac:dyDescent="0.25">
      <c r="A22" s="1"/>
      <c r="B22" s="217" t="s">
        <v>316</v>
      </c>
      <c r="C22" s="1"/>
      <c r="D22" s="1"/>
      <c r="E22" s="1"/>
      <c r="F22" s="1"/>
      <c r="G22" s="1"/>
    </row>
    <row r="23" spans="1:7" x14ac:dyDescent="0.25">
      <c r="A23" s="1"/>
      <c r="B23" s="254" t="s">
        <v>416</v>
      </c>
      <c r="C23" s="1"/>
      <c r="D23" s="1"/>
      <c r="E23" s="1"/>
      <c r="F23" s="1"/>
      <c r="G23" s="1"/>
    </row>
    <row r="24" spans="1:7" x14ac:dyDescent="0.25">
      <c r="A24" s="1"/>
      <c r="B24" s="264" t="s">
        <v>319</v>
      </c>
      <c r="C24" s="1"/>
      <c r="D24" s="1"/>
      <c r="E24" s="1"/>
      <c r="F24" s="1"/>
      <c r="G24" s="1"/>
    </row>
    <row r="25" spans="1:7" x14ac:dyDescent="0.25">
      <c r="A25" s="1"/>
      <c r="B25" s="262" t="s">
        <v>325</v>
      </c>
      <c r="C25" s="1"/>
      <c r="D25" s="1"/>
      <c r="E25" s="1"/>
      <c r="F25" s="1"/>
      <c r="G25" s="1"/>
    </row>
    <row r="26" spans="1:7" x14ac:dyDescent="0.25">
      <c r="A26" s="1"/>
      <c r="B26" s="262" t="s">
        <v>322</v>
      </c>
      <c r="C26" s="1"/>
      <c r="D26" s="1"/>
      <c r="E26" s="1"/>
      <c r="F26" s="1"/>
      <c r="G26" s="1"/>
    </row>
    <row r="27" spans="1:7" ht="15.75" thickBot="1" x14ac:dyDescent="0.3">
      <c r="A27" s="1"/>
      <c r="B27" s="265" t="s">
        <v>323</v>
      </c>
      <c r="C27" s="1"/>
      <c r="D27" s="1"/>
      <c r="E27" s="1"/>
      <c r="F27" s="1"/>
      <c r="G27" s="1"/>
    </row>
    <row r="28" spans="1:7" ht="15.75" thickBot="1" x14ac:dyDescent="0.3">
      <c r="A28" s="1"/>
      <c r="B28" s="266" t="s">
        <v>324</v>
      </c>
      <c r="C28" s="1"/>
      <c r="D28" s="1"/>
      <c r="E28" s="1"/>
      <c r="F28" s="1"/>
      <c r="G28" s="1"/>
    </row>
    <row r="29" spans="1:7" x14ac:dyDescent="0.25">
      <c r="A29" s="1"/>
      <c r="B29" s="1"/>
      <c r="C29" s="1"/>
      <c r="D29" s="1"/>
      <c r="E29" s="1"/>
      <c r="F29" s="1"/>
    </row>
    <row r="30" spans="1:7" x14ac:dyDescent="0.25">
      <c r="A30" s="1"/>
      <c r="B30" s="1"/>
      <c r="C30" s="1"/>
      <c r="D30" s="1"/>
      <c r="E30" s="1"/>
      <c r="F30" s="1"/>
    </row>
    <row r="31" spans="1:7" x14ac:dyDescent="0.25">
      <c r="A31" s="1"/>
      <c r="B31" s="1"/>
      <c r="C31" s="1"/>
      <c r="D31" s="1"/>
      <c r="E31" s="1"/>
      <c r="F31" s="1"/>
    </row>
    <row r="32" spans="1:7" x14ac:dyDescent="0.25">
      <c r="A32" s="1"/>
      <c r="B32" s="1"/>
      <c r="C32" s="1"/>
      <c r="D32" s="1"/>
      <c r="E32" s="1"/>
      <c r="F32" s="1"/>
    </row>
    <row r="33" spans="1:6" x14ac:dyDescent="0.25">
      <c r="A33" s="1"/>
      <c r="B33" s="1"/>
      <c r="C33" s="1"/>
      <c r="D33" s="1"/>
      <c r="E33" s="1"/>
      <c r="F33" s="1"/>
    </row>
    <row r="34" spans="1:6" x14ac:dyDescent="0.25">
      <c r="A34" s="1"/>
      <c r="B34" s="1"/>
      <c r="C34" s="1"/>
      <c r="D34" s="1"/>
      <c r="E34" s="1"/>
      <c r="F34" s="1"/>
    </row>
    <row r="35" spans="1:6" x14ac:dyDescent="0.25">
      <c r="A35" s="1"/>
      <c r="B35" s="1"/>
      <c r="C35" s="1"/>
      <c r="D35" s="1"/>
      <c r="E35" s="1"/>
      <c r="F35" s="1"/>
    </row>
    <row r="36" spans="1:6" x14ac:dyDescent="0.25">
      <c r="A36" s="1"/>
      <c r="B36" s="1"/>
      <c r="C36" s="1"/>
      <c r="D36" s="1"/>
      <c r="E36" s="1"/>
      <c r="F36" s="1"/>
    </row>
    <row r="37" spans="1:6" x14ac:dyDescent="0.25">
      <c r="A37" s="1"/>
      <c r="B37" s="1"/>
      <c r="C37" s="1"/>
      <c r="D37" s="1"/>
      <c r="E37" s="1"/>
      <c r="F37" s="1"/>
    </row>
    <row r="38" spans="1:6" x14ac:dyDescent="0.25">
      <c r="A38" s="1"/>
      <c r="B38" s="1"/>
      <c r="C38" s="1"/>
      <c r="D38" s="1"/>
      <c r="E38" s="1"/>
      <c r="F38" s="1"/>
    </row>
    <row r="39" spans="1:6" x14ac:dyDescent="0.25">
      <c r="A39" s="1"/>
      <c r="B39" s="1"/>
      <c r="C39" s="1"/>
      <c r="D39" s="1"/>
      <c r="E39" s="1"/>
      <c r="F39" s="1"/>
    </row>
    <row r="40" spans="1:6" x14ac:dyDescent="0.25">
      <c r="A40" s="1"/>
      <c r="B40" s="1"/>
      <c r="C40" s="1"/>
      <c r="D40" s="1"/>
      <c r="E40" s="1"/>
      <c r="F40" s="1"/>
    </row>
    <row r="41" spans="1:6" x14ac:dyDescent="0.25">
      <c r="A41" s="1"/>
      <c r="B41" s="1"/>
      <c r="C41" s="1"/>
      <c r="D41" s="1"/>
      <c r="E41" s="1"/>
      <c r="F41" s="1"/>
    </row>
    <row r="42" spans="1:6" x14ac:dyDescent="0.25">
      <c r="A42" s="1"/>
      <c r="B42" s="1"/>
      <c r="C42" s="1"/>
      <c r="D42" s="1"/>
      <c r="E42" s="1"/>
      <c r="F42" s="1"/>
    </row>
    <row r="43" spans="1:6" x14ac:dyDescent="0.25">
      <c r="A43" s="1"/>
      <c r="B43" s="1"/>
      <c r="C43" s="1"/>
      <c r="D43" s="1"/>
      <c r="E43" s="1"/>
      <c r="F43" s="1"/>
    </row>
    <row r="44" spans="1:6" x14ac:dyDescent="0.25">
      <c r="A44" s="1"/>
      <c r="B44" s="1"/>
      <c r="C44" s="1"/>
      <c r="D44" s="1"/>
      <c r="E44" s="1"/>
      <c r="F44" s="1"/>
    </row>
    <row r="45" spans="1:6" x14ac:dyDescent="0.25">
      <c r="A45" s="1"/>
      <c r="B45" s="1"/>
      <c r="C45" s="1"/>
      <c r="D45" s="1"/>
      <c r="E45" s="1"/>
      <c r="F45" s="1"/>
    </row>
    <row r="46" spans="1:6" x14ac:dyDescent="0.25">
      <c r="A46" s="1"/>
      <c r="B46" s="1"/>
      <c r="C46" s="1"/>
      <c r="D46" s="1"/>
      <c r="E46" s="1"/>
      <c r="F46" s="1"/>
    </row>
    <row r="47" spans="1:6" x14ac:dyDescent="0.25">
      <c r="A47" s="1"/>
      <c r="B47" s="1"/>
      <c r="C47" s="1"/>
      <c r="D47" s="1"/>
      <c r="E47" s="1"/>
      <c r="F47" s="1"/>
    </row>
    <row r="48" spans="1:6" x14ac:dyDescent="0.25">
      <c r="A48" s="1"/>
      <c r="B48" s="1"/>
      <c r="C48" s="1"/>
      <c r="D48" s="1"/>
      <c r="E48" s="1"/>
      <c r="F48" s="1"/>
    </row>
    <row r="49" spans="1:6" x14ac:dyDescent="0.25">
      <c r="A49" s="1"/>
      <c r="B49" s="1"/>
      <c r="C49" s="1"/>
      <c r="D49" s="1"/>
      <c r="E49" s="1"/>
      <c r="F49" s="1"/>
    </row>
    <row r="50" spans="1:6" x14ac:dyDescent="0.25">
      <c r="A50" s="1"/>
      <c r="B50" s="1"/>
      <c r="C50" s="1"/>
      <c r="D50" s="1"/>
      <c r="E50" s="1"/>
      <c r="F50" s="1"/>
    </row>
    <row r="51" spans="1:6" x14ac:dyDescent="0.25">
      <c r="A51" s="1"/>
      <c r="B51" s="1"/>
      <c r="C51" s="1"/>
      <c r="D51" s="1"/>
      <c r="E51" s="1"/>
      <c r="F51" s="1"/>
    </row>
    <row r="52" spans="1:6" x14ac:dyDescent="0.25">
      <c r="A52" s="1"/>
      <c r="B52" s="1"/>
      <c r="C52" s="1"/>
      <c r="D52" s="1"/>
      <c r="E52" s="1"/>
      <c r="F52" s="1"/>
    </row>
    <row r="53" spans="1:6" x14ac:dyDescent="0.25">
      <c r="A53" s="1"/>
      <c r="B53" s="1"/>
      <c r="C53" s="1"/>
      <c r="D53" s="1"/>
      <c r="E53" s="1"/>
      <c r="F53" s="1"/>
    </row>
    <row r="54" spans="1:6" x14ac:dyDescent="0.25">
      <c r="A54" s="1"/>
      <c r="B54" s="1"/>
      <c r="C54" s="1"/>
      <c r="D54" s="1"/>
      <c r="E54" s="1"/>
      <c r="F54" s="1"/>
    </row>
    <row r="55" spans="1:6" x14ac:dyDescent="0.25">
      <c r="A55" s="1"/>
      <c r="B55" s="1"/>
      <c r="C55" s="1"/>
      <c r="D55" s="1"/>
      <c r="E55" s="1"/>
      <c r="F55" s="1"/>
    </row>
    <row r="56" spans="1:6" x14ac:dyDescent="0.25">
      <c r="A56" s="1"/>
      <c r="B56" s="1"/>
      <c r="C56" s="1"/>
      <c r="D56" s="1"/>
      <c r="E56" s="1"/>
      <c r="F56" s="1"/>
    </row>
    <row r="57" spans="1:6" x14ac:dyDescent="0.25">
      <c r="A57" s="1"/>
      <c r="B57" s="1"/>
      <c r="C57" s="1"/>
      <c r="D57" s="1"/>
      <c r="E57" s="1"/>
      <c r="F57" s="1"/>
    </row>
    <row r="58" spans="1:6" x14ac:dyDescent="0.25">
      <c r="A58" s="1"/>
      <c r="B58" s="1"/>
      <c r="C58" s="1"/>
      <c r="D58" s="1"/>
      <c r="E58" s="1"/>
      <c r="F58" s="1"/>
    </row>
    <row r="59" spans="1:6" x14ac:dyDescent="0.25">
      <c r="A59" s="1"/>
      <c r="B59" s="1"/>
      <c r="C59" s="1"/>
      <c r="D59" s="1"/>
      <c r="E59" s="1"/>
      <c r="F59" s="1"/>
    </row>
    <row r="60" spans="1:6" x14ac:dyDescent="0.25">
      <c r="A60" s="1"/>
      <c r="B60" s="1"/>
      <c r="C60" s="1"/>
      <c r="D60" s="1"/>
      <c r="E60" s="1"/>
      <c r="F60" s="1"/>
    </row>
    <row r="61" spans="1:6" x14ac:dyDescent="0.25">
      <c r="A61" s="1"/>
      <c r="B61" s="1"/>
      <c r="C61" s="1"/>
      <c r="D61" s="1"/>
      <c r="E61" s="1"/>
      <c r="F61" s="1"/>
    </row>
    <row r="62" spans="1:6" x14ac:dyDescent="0.25">
      <c r="A62" s="1"/>
      <c r="B62" s="1"/>
      <c r="C62" s="1"/>
      <c r="D62" s="1"/>
      <c r="E62" s="1"/>
      <c r="F62" s="1"/>
    </row>
    <row r="63" spans="1:6" x14ac:dyDescent="0.25">
      <c r="A63" s="1"/>
      <c r="B63" s="1"/>
      <c r="C63" s="1"/>
      <c r="D63" s="1"/>
      <c r="E63" s="1"/>
      <c r="F63" s="1"/>
    </row>
    <row r="64" spans="1:6" x14ac:dyDescent="0.25">
      <c r="D64" s="1"/>
      <c r="E64" s="1"/>
      <c r="F64" s="1"/>
    </row>
  </sheetData>
  <sheetProtection password="CC2B" sheet="1" objects="1" scenarios="1"/>
  <pageMargins left="0.7" right="0.7" top="0.75" bottom="0.75" header="0.3" footer="0.3"/>
  <pageSetup paperSize="9" orientation="portrait" r:id="rId1"/>
  <headerFooter>
    <oddFooter>&amp;C&amp;1#&amp;"Calibri"&amp;12&amp;K008000Internal Use</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7570-BC81-4EDC-87EC-2B65BA9F4451}">
  <dimension ref="A1:U39"/>
  <sheetViews>
    <sheetView workbookViewId="0">
      <selection activeCell="T12" sqref="T12"/>
    </sheetView>
  </sheetViews>
  <sheetFormatPr defaultRowHeight="15" x14ac:dyDescent="0.25"/>
  <sheetData>
    <row r="1" spans="1:21" x14ac:dyDescent="0.25">
      <c r="A1" s="1"/>
      <c r="B1" s="1"/>
      <c r="C1" s="1"/>
      <c r="D1" s="1"/>
      <c r="E1" s="1"/>
      <c r="F1" s="1"/>
      <c r="G1" s="1"/>
      <c r="H1" s="1"/>
      <c r="I1" s="1"/>
      <c r="J1" s="1"/>
      <c r="K1" s="1"/>
      <c r="L1" s="1"/>
      <c r="M1" s="1"/>
      <c r="N1" s="1"/>
      <c r="O1" s="1"/>
      <c r="P1" s="1"/>
      <c r="Q1" s="1"/>
      <c r="R1" s="1"/>
      <c r="S1" s="1"/>
      <c r="T1" s="1"/>
      <c r="U1" s="1"/>
    </row>
    <row r="2" spans="1:21" x14ac:dyDescent="0.25">
      <c r="A2" s="1"/>
      <c r="B2" s="1"/>
      <c r="C2" s="1"/>
      <c r="D2" s="1"/>
      <c r="E2" s="1"/>
      <c r="F2" s="1"/>
      <c r="G2" s="1"/>
      <c r="H2" s="1"/>
      <c r="I2" s="1"/>
      <c r="J2" s="1"/>
      <c r="K2" s="1"/>
      <c r="L2" s="1"/>
      <c r="M2" s="1"/>
      <c r="N2" s="1"/>
      <c r="O2" s="1"/>
      <c r="P2" s="1"/>
      <c r="Q2" s="1"/>
      <c r="R2" s="1"/>
      <c r="S2" s="1"/>
      <c r="T2" s="1"/>
      <c r="U2" s="1"/>
    </row>
    <row r="3" spans="1:21" x14ac:dyDescent="0.25">
      <c r="A3" s="1"/>
      <c r="B3" s="1"/>
      <c r="C3" s="1"/>
      <c r="D3" s="1"/>
      <c r="E3" s="1"/>
      <c r="F3" s="1"/>
      <c r="G3" s="1"/>
      <c r="H3" s="1"/>
      <c r="I3" s="1"/>
      <c r="J3" s="1"/>
      <c r="K3" s="1"/>
      <c r="L3" s="1"/>
      <c r="M3" s="1"/>
      <c r="N3" s="1"/>
      <c r="O3" s="1"/>
      <c r="P3" s="1"/>
      <c r="Q3" s="1"/>
      <c r="R3" s="1"/>
      <c r="S3" s="1"/>
      <c r="T3" s="1"/>
      <c r="U3" s="1"/>
    </row>
    <row r="4" spans="1:21" x14ac:dyDescent="0.25">
      <c r="A4" s="1"/>
      <c r="B4" s="1"/>
      <c r="C4" s="1"/>
      <c r="D4" s="1"/>
      <c r="E4" s="1"/>
      <c r="F4" s="1"/>
      <c r="G4" s="1"/>
      <c r="H4" s="1"/>
      <c r="I4" s="1"/>
      <c r="J4" s="1"/>
      <c r="K4" s="1"/>
      <c r="L4" s="1"/>
      <c r="M4" s="1"/>
      <c r="N4" s="1"/>
      <c r="O4" s="1"/>
      <c r="P4" s="1"/>
      <c r="Q4" s="1"/>
      <c r="R4" s="1"/>
      <c r="S4" s="1"/>
      <c r="T4" s="1"/>
      <c r="U4" s="1"/>
    </row>
    <row r="5" spans="1:21" x14ac:dyDescent="0.25">
      <c r="A5" s="1"/>
      <c r="B5" s="1"/>
      <c r="C5" s="1"/>
      <c r="D5" s="1"/>
      <c r="E5" s="1"/>
      <c r="F5" s="1"/>
      <c r="G5" s="1"/>
      <c r="H5" s="1"/>
      <c r="I5" s="1"/>
      <c r="J5" s="1"/>
      <c r="K5" s="1"/>
      <c r="L5" s="1"/>
      <c r="M5" s="1"/>
      <c r="N5" s="1"/>
      <c r="O5" s="1"/>
      <c r="P5" s="1"/>
      <c r="Q5" s="1"/>
      <c r="R5" s="1"/>
      <c r="S5" s="1"/>
      <c r="T5" s="1"/>
      <c r="U5" s="1"/>
    </row>
    <row r="6" spans="1:21" x14ac:dyDescent="0.25">
      <c r="A6" s="1"/>
      <c r="B6" s="1"/>
      <c r="C6" s="1"/>
      <c r="D6" s="1"/>
      <c r="E6" s="1"/>
      <c r="F6" s="1"/>
      <c r="G6" s="1"/>
      <c r="H6" s="1"/>
      <c r="I6" s="1"/>
      <c r="J6" s="1"/>
      <c r="K6" s="1"/>
      <c r="L6" s="1"/>
      <c r="M6" s="1"/>
      <c r="N6" s="1"/>
      <c r="O6" s="1"/>
      <c r="P6" s="1"/>
      <c r="Q6" s="1"/>
      <c r="R6" s="1"/>
      <c r="S6" s="1"/>
      <c r="T6" s="1"/>
      <c r="U6" s="1"/>
    </row>
    <row r="7" spans="1:21" x14ac:dyDescent="0.25">
      <c r="A7" s="1"/>
      <c r="B7" s="1"/>
      <c r="C7" s="1"/>
      <c r="D7" s="1"/>
      <c r="E7" s="1"/>
      <c r="F7" s="1"/>
      <c r="G7" s="1"/>
      <c r="H7" s="1"/>
      <c r="I7" s="1"/>
      <c r="J7" s="1"/>
      <c r="K7" s="1"/>
      <c r="L7" s="1"/>
      <c r="M7" s="1"/>
      <c r="N7" s="1"/>
      <c r="O7" s="1"/>
      <c r="P7" s="1"/>
      <c r="Q7" s="1"/>
      <c r="R7" s="1"/>
      <c r="S7" s="1"/>
      <c r="T7" s="1"/>
      <c r="U7" s="1"/>
    </row>
    <row r="8" spans="1:21" x14ac:dyDescent="0.25">
      <c r="A8" s="1"/>
      <c r="B8" s="1"/>
      <c r="C8" s="1"/>
      <c r="D8" s="1"/>
      <c r="E8" s="1"/>
      <c r="F8" s="1"/>
      <c r="G8" s="1"/>
      <c r="H8" s="1"/>
      <c r="I8" s="1"/>
      <c r="J8" s="1"/>
      <c r="K8" s="1"/>
      <c r="L8" s="1"/>
      <c r="M8" s="1"/>
      <c r="N8" s="1"/>
      <c r="O8" s="1"/>
      <c r="P8" s="1"/>
      <c r="Q8" s="1"/>
      <c r="R8" s="1"/>
      <c r="S8" s="1"/>
      <c r="T8" s="1"/>
      <c r="U8" s="1"/>
    </row>
    <row r="9" spans="1:21" x14ac:dyDescent="0.25">
      <c r="A9" s="1"/>
      <c r="B9" s="1"/>
      <c r="C9" s="1"/>
      <c r="D9" s="1"/>
      <c r="E9" s="1"/>
      <c r="F9" s="1"/>
      <c r="G9" s="1"/>
      <c r="H9" s="1"/>
      <c r="I9" s="1"/>
      <c r="J9" s="1"/>
      <c r="K9" s="1"/>
      <c r="L9" s="1"/>
      <c r="M9" s="1"/>
      <c r="N9" s="1"/>
      <c r="O9" s="1"/>
      <c r="P9" s="1"/>
      <c r="Q9" s="1"/>
      <c r="R9" s="1"/>
      <c r="S9" s="1"/>
      <c r="T9" s="1"/>
      <c r="U9" s="1"/>
    </row>
    <row r="10" spans="1:21" x14ac:dyDescent="0.25">
      <c r="A10" s="1"/>
      <c r="B10" s="1"/>
      <c r="C10" s="1"/>
      <c r="D10" s="1"/>
      <c r="E10" s="1"/>
      <c r="F10" s="1"/>
      <c r="G10" s="1"/>
      <c r="H10" s="1"/>
      <c r="I10" s="1"/>
      <c r="J10" s="1"/>
      <c r="K10" s="1"/>
      <c r="L10" s="1"/>
      <c r="M10" s="1"/>
      <c r="N10" s="1"/>
      <c r="O10" s="1"/>
      <c r="P10" s="1"/>
      <c r="Q10" s="1"/>
      <c r="R10" s="1"/>
      <c r="S10" s="1"/>
      <c r="T10" s="1"/>
      <c r="U10" s="1"/>
    </row>
    <row r="11" spans="1:21" x14ac:dyDescent="0.25">
      <c r="A11" s="1"/>
      <c r="B11" s="1"/>
      <c r="C11" s="1"/>
      <c r="D11" s="1"/>
      <c r="E11" s="1"/>
      <c r="F11" s="1"/>
      <c r="G11" s="1"/>
      <c r="H11" s="1"/>
      <c r="I11" s="1"/>
      <c r="J11" s="1"/>
      <c r="K11" s="1"/>
      <c r="L11" s="1"/>
      <c r="M11" s="1"/>
      <c r="N11" s="1"/>
      <c r="O11" s="1"/>
      <c r="P11" s="1"/>
      <c r="Q11" s="1"/>
      <c r="R11" s="1"/>
      <c r="S11" s="1"/>
      <c r="T11" s="1"/>
      <c r="U11" s="1"/>
    </row>
    <row r="12" spans="1:21" x14ac:dyDescent="0.25">
      <c r="A12" s="1"/>
      <c r="B12" s="1"/>
      <c r="C12" s="1"/>
      <c r="D12" s="1"/>
      <c r="E12" s="1"/>
      <c r="F12" s="1"/>
      <c r="G12" s="1"/>
      <c r="H12" s="1"/>
      <c r="I12" s="1"/>
      <c r="J12" s="1"/>
      <c r="K12" s="1"/>
      <c r="L12" s="1"/>
      <c r="M12" s="1"/>
      <c r="N12" s="1"/>
      <c r="O12" s="1"/>
      <c r="P12" s="1"/>
      <c r="Q12" s="1"/>
      <c r="R12" s="1"/>
      <c r="S12" s="1"/>
      <c r="T12" s="1"/>
      <c r="U12" s="1"/>
    </row>
    <row r="13" spans="1:21" x14ac:dyDescent="0.25">
      <c r="A13" s="1"/>
      <c r="B13" s="1"/>
      <c r="C13" s="1"/>
      <c r="D13" s="1"/>
      <c r="E13" s="1"/>
      <c r="F13" s="1"/>
      <c r="G13" s="1"/>
      <c r="H13" s="1"/>
      <c r="I13" s="1"/>
      <c r="J13" s="1"/>
      <c r="K13" s="1"/>
      <c r="L13" s="1"/>
      <c r="M13" s="1"/>
      <c r="N13" s="1"/>
      <c r="O13" s="1"/>
      <c r="P13" s="1"/>
      <c r="Q13" s="1"/>
      <c r="R13" s="1"/>
      <c r="S13" s="1"/>
      <c r="T13" s="1"/>
      <c r="U13" s="1"/>
    </row>
    <row r="14" spans="1:21" x14ac:dyDescent="0.25">
      <c r="A14" s="1"/>
      <c r="B14" s="1"/>
      <c r="C14" s="1"/>
      <c r="D14" s="1"/>
      <c r="E14" s="1"/>
      <c r="F14" s="1"/>
      <c r="G14" s="1"/>
      <c r="H14" s="1"/>
      <c r="I14" s="1"/>
      <c r="J14" s="1"/>
      <c r="K14" s="1"/>
      <c r="L14" s="1"/>
      <c r="M14" s="1"/>
      <c r="N14" s="1"/>
      <c r="O14" s="1"/>
      <c r="P14" s="1"/>
      <c r="Q14" s="1"/>
      <c r="R14" s="1"/>
      <c r="S14" s="1"/>
      <c r="T14" s="1"/>
      <c r="U14" s="1"/>
    </row>
    <row r="15" spans="1:21" x14ac:dyDescent="0.25">
      <c r="A15" s="1"/>
      <c r="B15" s="1"/>
      <c r="C15" s="1"/>
      <c r="D15" s="1"/>
      <c r="E15" s="1"/>
      <c r="F15" s="1"/>
      <c r="G15" s="1"/>
      <c r="H15" s="1"/>
      <c r="I15" s="1"/>
      <c r="J15" s="1"/>
      <c r="K15" s="1"/>
      <c r="L15" s="1"/>
      <c r="M15" s="1"/>
      <c r="N15" s="1"/>
      <c r="O15" s="1"/>
      <c r="P15" s="1"/>
      <c r="Q15" s="1"/>
      <c r="R15" s="1"/>
      <c r="S15" s="1"/>
      <c r="T15" s="1"/>
      <c r="U15" s="1"/>
    </row>
    <row r="16" spans="1:21" x14ac:dyDescent="0.25">
      <c r="A16" s="1"/>
      <c r="B16" s="1"/>
      <c r="C16" s="1"/>
      <c r="D16" s="1"/>
      <c r="E16" s="1"/>
      <c r="F16" s="1"/>
      <c r="G16" s="1"/>
      <c r="H16" s="1"/>
      <c r="I16" s="1"/>
      <c r="J16" s="1"/>
      <c r="K16" s="1"/>
      <c r="L16" s="1"/>
      <c r="M16" s="1"/>
      <c r="N16" s="1"/>
      <c r="O16" s="1"/>
      <c r="P16" s="1"/>
      <c r="Q16" s="1"/>
      <c r="R16" s="1"/>
      <c r="S16" s="1"/>
      <c r="T16" s="1"/>
      <c r="U16" s="1"/>
    </row>
    <row r="17" spans="1:21" x14ac:dyDescent="0.25">
      <c r="A17" s="1"/>
      <c r="B17" s="1"/>
      <c r="C17" s="1"/>
      <c r="D17" s="1"/>
      <c r="E17" s="1"/>
      <c r="F17" s="1"/>
      <c r="G17" s="1"/>
      <c r="H17" s="1"/>
      <c r="I17" s="1"/>
      <c r="J17" s="1"/>
      <c r="K17" s="1"/>
      <c r="L17" s="1"/>
      <c r="M17" s="1"/>
      <c r="N17" s="1"/>
      <c r="O17" s="1"/>
      <c r="P17" s="1"/>
      <c r="Q17" s="1"/>
      <c r="R17" s="1"/>
      <c r="S17" s="1"/>
      <c r="T17" s="1"/>
      <c r="U17" s="1"/>
    </row>
    <row r="18" spans="1:21" x14ac:dyDescent="0.25">
      <c r="A18" s="1"/>
      <c r="B18" s="1"/>
      <c r="C18" s="1"/>
      <c r="D18" s="1"/>
      <c r="E18" s="1"/>
      <c r="F18" s="1"/>
      <c r="G18" s="1"/>
      <c r="H18" s="1"/>
      <c r="I18" s="1"/>
      <c r="J18" s="1"/>
      <c r="K18" s="1"/>
      <c r="L18" s="1"/>
      <c r="M18" s="1"/>
      <c r="N18" s="1"/>
      <c r="O18" s="1"/>
      <c r="P18" s="1"/>
      <c r="Q18" s="1"/>
      <c r="R18" s="1"/>
      <c r="S18" s="1"/>
      <c r="T18" s="1"/>
      <c r="U18" s="1"/>
    </row>
    <row r="19" spans="1:21" x14ac:dyDescent="0.25">
      <c r="A19" s="1"/>
      <c r="B19" s="1"/>
      <c r="C19" s="1"/>
      <c r="D19" s="1"/>
      <c r="E19" s="1"/>
      <c r="F19" s="1"/>
      <c r="G19" s="1"/>
      <c r="H19" s="1"/>
      <c r="I19" s="1"/>
      <c r="J19" s="1"/>
      <c r="K19" s="1"/>
      <c r="L19" s="1"/>
      <c r="M19" s="1"/>
      <c r="N19" s="1"/>
      <c r="O19" s="1"/>
      <c r="P19" s="1"/>
      <c r="Q19" s="1"/>
      <c r="R19" s="1"/>
      <c r="S19" s="1"/>
      <c r="T19" s="1"/>
      <c r="U19" s="1"/>
    </row>
    <row r="20" spans="1:21" x14ac:dyDescent="0.25">
      <c r="A20" s="1"/>
      <c r="B20" s="1"/>
      <c r="C20" s="1"/>
      <c r="D20" s="1"/>
      <c r="E20" s="1"/>
      <c r="F20" s="1"/>
      <c r="G20" s="1"/>
      <c r="H20" s="1"/>
      <c r="I20" s="1"/>
      <c r="J20" s="1"/>
      <c r="K20" s="1"/>
      <c r="L20" s="1"/>
      <c r="M20" s="1"/>
      <c r="N20" s="1"/>
      <c r="O20" s="1"/>
      <c r="P20" s="1"/>
      <c r="Q20" s="1"/>
      <c r="R20" s="1"/>
      <c r="S20" s="1"/>
      <c r="T20" s="1"/>
      <c r="U20" s="1"/>
    </row>
    <row r="21" spans="1:21" x14ac:dyDescent="0.25">
      <c r="A21" s="1"/>
      <c r="B21" s="1"/>
      <c r="C21" s="1"/>
      <c r="D21" s="1"/>
      <c r="E21" s="1"/>
      <c r="F21" s="1"/>
      <c r="G21" s="1"/>
      <c r="H21" s="1"/>
      <c r="I21" s="1"/>
      <c r="J21" s="1"/>
      <c r="K21" s="1"/>
      <c r="L21" s="1"/>
      <c r="M21" s="1"/>
      <c r="N21" s="1"/>
      <c r="O21" s="1"/>
      <c r="P21" s="1"/>
      <c r="Q21" s="1"/>
      <c r="R21" s="1"/>
      <c r="S21" s="1"/>
      <c r="T21" s="1"/>
      <c r="U21" s="1"/>
    </row>
    <row r="22" spans="1:21" x14ac:dyDescent="0.25">
      <c r="A22" s="1"/>
      <c r="B22" s="1"/>
      <c r="C22" s="1"/>
      <c r="D22" s="1"/>
      <c r="E22" s="1"/>
      <c r="F22" s="1"/>
      <c r="G22" s="1"/>
      <c r="H22" s="1"/>
      <c r="I22" s="1"/>
      <c r="J22" s="1"/>
      <c r="K22" s="1"/>
      <c r="L22" s="1"/>
      <c r="M22" s="1"/>
      <c r="N22" s="1"/>
      <c r="O22" s="1"/>
      <c r="P22" s="1"/>
      <c r="Q22" s="1"/>
      <c r="R22" s="1"/>
      <c r="S22" s="1"/>
      <c r="T22" s="1"/>
      <c r="U22" s="1"/>
    </row>
    <row r="23" spans="1:21" x14ac:dyDescent="0.25">
      <c r="A23" s="1"/>
      <c r="B23" s="1"/>
      <c r="C23" s="1"/>
      <c r="D23" s="1"/>
      <c r="E23" s="1"/>
      <c r="F23" s="1"/>
      <c r="G23" s="1"/>
      <c r="H23" s="1"/>
      <c r="I23" s="1"/>
      <c r="J23" s="1"/>
      <c r="K23" s="1"/>
      <c r="L23" s="1"/>
      <c r="M23" s="1"/>
      <c r="N23" s="1"/>
      <c r="O23" s="1"/>
      <c r="P23" s="1"/>
      <c r="Q23" s="1"/>
      <c r="R23" s="1"/>
      <c r="S23" s="1"/>
      <c r="T23" s="1"/>
      <c r="U23" s="1"/>
    </row>
    <row r="24" spans="1:21" x14ac:dyDescent="0.25">
      <c r="A24" s="1"/>
      <c r="B24" s="1"/>
      <c r="C24" s="1"/>
      <c r="D24" s="1"/>
      <c r="E24" s="1"/>
      <c r="F24" s="1"/>
      <c r="G24" s="1"/>
      <c r="H24" s="1"/>
      <c r="I24" s="1"/>
      <c r="J24" s="1"/>
      <c r="K24" s="1"/>
      <c r="L24" s="1"/>
      <c r="M24" s="1"/>
      <c r="N24" s="1"/>
      <c r="O24" s="1"/>
      <c r="P24" s="1"/>
      <c r="Q24" s="1"/>
      <c r="R24" s="1"/>
      <c r="S24" s="1"/>
      <c r="T24" s="1"/>
      <c r="U24" s="1"/>
    </row>
    <row r="25" spans="1:21" x14ac:dyDescent="0.25">
      <c r="A25" s="1"/>
      <c r="B25" s="1"/>
      <c r="C25" s="1"/>
      <c r="D25" s="1"/>
      <c r="E25" s="1"/>
      <c r="F25" s="1"/>
      <c r="G25" s="1"/>
      <c r="H25" s="1"/>
      <c r="I25" s="1"/>
      <c r="J25" s="1"/>
      <c r="K25" s="1"/>
      <c r="L25" s="1"/>
      <c r="M25" s="1"/>
      <c r="N25" s="1"/>
      <c r="O25" s="1"/>
      <c r="P25" s="1"/>
      <c r="Q25" s="1"/>
      <c r="R25" s="1"/>
      <c r="S25" s="1"/>
      <c r="T25" s="1"/>
      <c r="U25" s="1"/>
    </row>
    <row r="26" spans="1:21" x14ac:dyDescent="0.25">
      <c r="A26" s="1"/>
      <c r="B26" s="1"/>
      <c r="C26" s="1"/>
      <c r="D26" s="1"/>
      <c r="E26" s="1"/>
      <c r="F26" s="1"/>
      <c r="G26" s="1"/>
      <c r="H26" s="1"/>
      <c r="I26" s="1"/>
      <c r="J26" s="1"/>
      <c r="K26" s="1"/>
      <c r="L26" s="1"/>
      <c r="M26" s="1"/>
      <c r="N26" s="1"/>
      <c r="O26" s="1"/>
      <c r="P26" s="1"/>
      <c r="Q26" s="1"/>
      <c r="R26" s="1"/>
      <c r="S26" s="1"/>
      <c r="T26" s="1"/>
      <c r="U26" s="1"/>
    </row>
    <row r="27" spans="1:21" x14ac:dyDescent="0.25">
      <c r="A27" s="1"/>
      <c r="B27" s="1"/>
      <c r="C27" s="1"/>
      <c r="D27" s="1"/>
      <c r="E27" s="1"/>
      <c r="F27" s="1"/>
      <c r="G27" s="1"/>
      <c r="H27" s="1"/>
      <c r="I27" s="1"/>
      <c r="J27" s="1"/>
      <c r="K27" s="1"/>
      <c r="L27" s="1"/>
      <c r="M27" s="1"/>
      <c r="N27" s="1"/>
      <c r="O27" s="1"/>
      <c r="P27" s="1"/>
      <c r="Q27" s="1"/>
      <c r="R27" s="1"/>
      <c r="S27" s="1"/>
      <c r="T27" s="1"/>
      <c r="U27" s="1"/>
    </row>
    <row r="28" spans="1:21" x14ac:dyDescent="0.25">
      <c r="A28" s="1"/>
      <c r="B28" s="1"/>
      <c r="C28" s="1"/>
      <c r="D28" s="1"/>
      <c r="E28" s="1"/>
      <c r="F28" s="1"/>
      <c r="G28" s="1"/>
      <c r="H28" s="1"/>
      <c r="I28" s="1"/>
      <c r="J28" s="1"/>
      <c r="K28" s="1"/>
      <c r="L28" s="1"/>
      <c r="M28" s="1"/>
      <c r="N28" s="1"/>
      <c r="O28" s="1"/>
      <c r="P28" s="1"/>
      <c r="Q28" s="1"/>
      <c r="R28" s="1"/>
      <c r="S28" s="1"/>
      <c r="T28" s="1"/>
      <c r="U28" s="1"/>
    </row>
    <row r="29" spans="1:21" x14ac:dyDescent="0.25">
      <c r="A29" s="1"/>
      <c r="B29" s="1"/>
      <c r="C29" s="1"/>
      <c r="D29" s="1"/>
      <c r="E29" s="1"/>
      <c r="F29" s="1"/>
      <c r="G29" s="1"/>
      <c r="H29" s="1"/>
      <c r="I29" s="1"/>
      <c r="J29" s="1"/>
      <c r="K29" s="1"/>
      <c r="L29" s="1"/>
      <c r="M29" s="1"/>
      <c r="N29" s="1"/>
      <c r="O29" s="1"/>
      <c r="P29" s="1"/>
      <c r="Q29" s="1"/>
      <c r="R29" s="1"/>
      <c r="S29" s="1"/>
      <c r="T29" s="1"/>
      <c r="U29" s="1"/>
    </row>
    <row r="30" spans="1:21" x14ac:dyDescent="0.25">
      <c r="A30" s="1"/>
      <c r="B30" s="1"/>
      <c r="C30" s="1"/>
      <c r="D30" s="1"/>
      <c r="E30" s="1"/>
      <c r="F30" s="1"/>
      <c r="G30" s="1"/>
      <c r="H30" s="1"/>
      <c r="I30" s="1"/>
      <c r="J30" s="1"/>
      <c r="K30" s="1"/>
      <c r="L30" s="1"/>
      <c r="M30" s="1"/>
      <c r="N30" s="1"/>
      <c r="O30" s="1"/>
      <c r="P30" s="1"/>
      <c r="Q30" s="1"/>
      <c r="R30" s="1"/>
      <c r="S30" s="1"/>
      <c r="T30" s="1"/>
      <c r="U30" s="1"/>
    </row>
    <row r="31" spans="1:21" x14ac:dyDescent="0.25">
      <c r="A31" s="1"/>
      <c r="B31" s="1"/>
      <c r="C31" s="1"/>
      <c r="D31" s="1"/>
      <c r="E31" s="1"/>
      <c r="F31" s="1"/>
      <c r="G31" s="1"/>
      <c r="H31" s="1"/>
      <c r="I31" s="1"/>
      <c r="J31" s="1"/>
      <c r="K31" s="1"/>
      <c r="L31" s="1"/>
      <c r="M31" s="1"/>
      <c r="N31" s="1"/>
      <c r="O31" s="1"/>
      <c r="P31" s="1"/>
      <c r="Q31" s="1"/>
      <c r="R31" s="1"/>
      <c r="S31" s="1"/>
      <c r="T31" s="1"/>
      <c r="U31" s="1"/>
    </row>
    <row r="32" spans="1:21" x14ac:dyDescent="0.25">
      <c r="A32" s="1"/>
      <c r="B32" s="1"/>
      <c r="C32" s="1"/>
      <c r="D32" s="1"/>
      <c r="E32" s="1"/>
      <c r="F32" s="1"/>
      <c r="G32" s="1"/>
      <c r="H32" s="1"/>
      <c r="I32" s="1"/>
      <c r="J32" s="1"/>
      <c r="K32" s="1"/>
      <c r="L32" s="1"/>
      <c r="M32" s="1"/>
      <c r="N32" s="1"/>
      <c r="O32" s="1"/>
      <c r="P32" s="1"/>
      <c r="Q32" s="1"/>
      <c r="R32" s="1"/>
      <c r="S32" s="1"/>
      <c r="T32" s="1"/>
      <c r="U32" s="1"/>
    </row>
    <row r="33" spans="1:21" x14ac:dyDescent="0.25">
      <c r="A33" s="1"/>
      <c r="B33" s="1"/>
      <c r="C33" s="1"/>
      <c r="D33" s="1"/>
      <c r="E33" s="1"/>
      <c r="F33" s="1"/>
      <c r="G33" s="1"/>
      <c r="H33" s="1"/>
      <c r="I33" s="1"/>
      <c r="J33" s="1"/>
      <c r="K33" s="1"/>
      <c r="L33" s="1"/>
      <c r="M33" s="1"/>
      <c r="N33" s="1"/>
      <c r="O33" s="1"/>
      <c r="P33" s="1"/>
      <c r="Q33" s="1"/>
      <c r="R33" s="1"/>
      <c r="S33" s="1"/>
      <c r="T33" s="1"/>
      <c r="U33" s="1"/>
    </row>
    <row r="34" spans="1:21" x14ac:dyDescent="0.25">
      <c r="A34" s="1"/>
      <c r="B34" s="1"/>
      <c r="C34" s="1"/>
      <c r="D34" s="1"/>
      <c r="E34" s="1"/>
      <c r="F34" s="1"/>
      <c r="G34" s="1"/>
      <c r="H34" s="1"/>
      <c r="I34" s="1"/>
      <c r="J34" s="1"/>
      <c r="K34" s="1"/>
      <c r="L34" s="1"/>
      <c r="M34" s="1"/>
      <c r="N34" s="1"/>
      <c r="O34" s="1"/>
      <c r="P34" s="1"/>
      <c r="Q34" s="1"/>
      <c r="R34" s="1"/>
      <c r="S34" s="1"/>
      <c r="T34" s="1"/>
      <c r="U34" s="1"/>
    </row>
    <row r="35" spans="1:21" x14ac:dyDescent="0.25">
      <c r="A35" s="1"/>
      <c r="B35" s="1"/>
      <c r="C35" s="1"/>
      <c r="D35" s="1"/>
      <c r="E35" s="1"/>
      <c r="F35" s="1"/>
      <c r="G35" s="1"/>
      <c r="H35" s="1"/>
      <c r="I35" s="1"/>
      <c r="J35" s="1"/>
      <c r="K35" s="1"/>
      <c r="L35" s="1"/>
      <c r="M35" s="1"/>
      <c r="N35" s="1"/>
      <c r="O35" s="1"/>
      <c r="P35" s="1"/>
      <c r="Q35" s="1"/>
      <c r="R35" s="1"/>
      <c r="S35" s="1"/>
      <c r="T35" s="1"/>
      <c r="U35" s="1"/>
    </row>
    <row r="36" spans="1:21" x14ac:dyDescent="0.25">
      <c r="A36" s="1"/>
      <c r="B36" s="1"/>
      <c r="C36" s="1"/>
      <c r="D36" s="1"/>
      <c r="E36" s="1"/>
      <c r="F36" s="1"/>
      <c r="G36" s="1"/>
      <c r="H36" s="1"/>
      <c r="I36" s="1"/>
      <c r="J36" s="1"/>
      <c r="K36" s="1"/>
      <c r="L36" s="1"/>
      <c r="M36" s="1"/>
      <c r="N36" s="1"/>
      <c r="O36" s="1"/>
      <c r="P36" s="1"/>
      <c r="Q36" s="1"/>
      <c r="R36" s="1"/>
      <c r="S36" s="1"/>
      <c r="T36" s="1"/>
      <c r="U36" s="1"/>
    </row>
    <row r="37" spans="1:21" x14ac:dyDescent="0.25">
      <c r="A37" s="1"/>
      <c r="B37" s="1"/>
      <c r="C37" s="1"/>
      <c r="D37" s="1"/>
      <c r="E37" s="1"/>
      <c r="F37" s="1"/>
      <c r="G37" s="1"/>
      <c r="H37" s="1"/>
      <c r="I37" s="1"/>
      <c r="J37" s="1"/>
      <c r="K37" s="1"/>
      <c r="L37" s="1"/>
      <c r="M37" s="1"/>
      <c r="N37" s="1"/>
      <c r="O37" s="1"/>
      <c r="P37" s="1"/>
      <c r="Q37" s="1"/>
      <c r="R37" s="1"/>
      <c r="S37" s="1"/>
      <c r="T37" s="1"/>
      <c r="U37" s="1"/>
    </row>
    <row r="38" spans="1:21" x14ac:dyDescent="0.25">
      <c r="A38" s="1"/>
      <c r="B38" s="1"/>
      <c r="C38" s="1"/>
      <c r="D38" s="1"/>
      <c r="E38" s="1"/>
      <c r="F38" s="1"/>
      <c r="G38" s="1"/>
      <c r="H38" s="1"/>
      <c r="I38" s="1"/>
      <c r="J38" s="1"/>
      <c r="K38" s="1"/>
      <c r="L38" s="1"/>
      <c r="M38" s="1"/>
      <c r="N38" s="1"/>
      <c r="O38" s="1"/>
      <c r="P38" s="1"/>
      <c r="Q38" s="1"/>
      <c r="R38" s="1"/>
      <c r="S38" s="1"/>
      <c r="T38" s="1"/>
      <c r="U38" s="1"/>
    </row>
    <row r="39" spans="1:21" x14ac:dyDescent="0.25">
      <c r="A39" s="1"/>
      <c r="B39" s="1"/>
      <c r="C39" s="1"/>
      <c r="D39" s="1"/>
      <c r="E39" s="1"/>
      <c r="F39" s="1"/>
      <c r="G39" s="1"/>
      <c r="H39" s="1"/>
      <c r="I39" s="1"/>
      <c r="J39" s="1"/>
      <c r="K39" s="1"/>
      <c r="L39" s="1"/>
      <c r="M39" s="1"/>
      <c r="N39" s="1"/>
      <c r="O39" s="1"/>
      <c r="P39" s="1"/>
      <c r="Q39" s="1"/>
      <c r="R39" s="1"/>
      <c r="S39" s="1"/>
      <c r="T39" s="1"/>
      <c r="U39" s="1"/>
    </row>
  </sheetData>
  <sheetProtection password="CC2B" sheet="1" objects="1" scenarios="1"/>
  <pageMargins left="0.7" right="0.7" top="0.75" bottom="0.75" header="0.3" footer="0.3"/>
  <pageSetup paperSize="9" orientation="portrait" r:id="rId1"/>
  <headerFooter>
    <oddFooter>&amp;C&amp;1#&amp;"Calibri"&amp;12&amp;K008000Internal Use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1B0D-D07F-4586-BAF7-C2C906E21AF8}">
  <sheetPr>
    <tabColor theme="9" tint="-0.249977111117893"/>
  </sheetPr>
  <dimension ref="A1:AK88"/>
  <sheetViews>
    <sheetView topLeftCell="O71" zoomScaleNormal="100" workbookViewId="0">
      <selection activeCell="V90" sqref="V90"/>
    </sheetView>
  </sheetViews>
  <sheetFormatPr defaultRowHeight="15" x14ac:dyDescent="0.25"/>
  <cols>
    <col min="22" max="22" width="13" customWidth="1"/>
  </cols>
  <sheetData>
    <row r="1" spans="1:37" x14ac:dyDescent="0.25">
      <c r="A1" s="361"/>
      <c r="B1" s="361"/>
      <c r="C1" s="361"/>
      <c r="D1" s="361"/>
      <c r="E1" s="361"/>
      <c r="F1" s="361"/>
      <c r="G1" s="361"/>
      <c r="H1" s="361"/>
      <c r="I1" s="361"/>
      <c r="J1" s="361"/>
      <c r="K1" s="361"/>
      <c r="L1" s="361"/>
      <c r="M1" s="361"/>
      <c r="N1" s="361"/>
      <c r="O1" s="361"/>
      <c r="P1" s="361"/>
      <c r="Q1" s="361"/>
      <c r="R1" s="361"/>
      <c r="S1" s="361"/>
      <c r="T1" s="361"/>
      <c r="U1" s="362"/>
      <c r="V1" s="362"/>
      <c r="W1" s="362"/>
      <c r="X1" s="362"/>
      <c r="Y1" s="362"/>
      <c r="Z1" s="362"/>
      <c r="AA1" s="362"/>
      <c r="AB1" s="362"/>
      <c r="AC1" s="362"/>
      <c r="AD1" s="362"/>
      <c r="AE1" s="364"/>
      <c r="AF1" s="364"/>
      <c r="AG1" s="364"/>
      <c r="AH1" s="364"/>
      <c r="AI1" s="364"/>
      <c r="AJ1" s="364"/>
      <c r="AK1" s="364"/>
    </row>
    <row r="2" spans="1:37" x14ac:dyDescent="0.25">
      <c r="A2" s="361"/>
      <c r="B2" s="361"/>
      <c r="C2" s="361"/>
      <c r="D2" s="361"/>
      <c r="E2" s="361"/>
      <c r="F2" s="361"/>
      <c r="G2" s="361"/>
      <c r="H2" s="361"/>
      <c r="I2" s="361"/>
      <c r="J2" s="361"/>
      <c r="K2" s="361"/>
      <c r="L2" s="361"/>
      <c r="M2" s="361"/>
      <c r="N2" s="361"/>
      <c r="O2" s="361"/>
      <c r="P2" s="361"/>
      <c r="Q2" s="361"/>
      <c r="R2" s="361"/>
      <c r="S2" s="361"/>
      <c r="T2" s="361"/>
      <c r="U2" s="362"/>
      <c r="V2" s="362"/>
      <c r="W2" s="362"/>
      <c r="X2" s="362"/>
      <c r="Y2" s="362"/>
      <c r="Z2" s="362"/>
      <c r="AA2" s="362"/>
      <c r="AB2" s="362"/>
      <c r="AC2" s="362"/>
      <c r="AD2" s="362"/>
      <c r="AE2" s="364"/>
      <c r="AF2" s="364"/>
      <c r="AG2" s="364"/>
      <c r="AH2" s="364"/>
      <c r="AI2" s="364"/>
      <c r="AJ2" s="364"/>
      <c r="AK2" s="364"/>
    </row>
    <row r="3" spans="1:37" x14ac:dyDescent="0.25">
      <c r="A3" s="361"/>
      <c r="B3" s="361"/>
      <c r="C3" s="361"/>
      <c r="D3" s="361"/>
      <c r="E3" s="361"/>
      <c r="F3" s="361"/>
      <c r="G3" s="361"/>
      <c r="H3" s="361"/>
      <c r="I3" s="361"/>
      <c r="J3" s="361"/>
      <c r="K3" s="361"/>
      <c r="L3" s="361"/>
      <c r="M3" s="361"/>
      <c r="N3" s="361"/>
      <c r="O3" s="361"/>
      <c r="P3" s="361"/>
      <c r="Q3" s="361"/>
      <c r="R3" s="361"/>
      <c r="S3" s="361"/>
      <c r="T3" s="361"/>
      <c r="U3" s="362"/>
      <c r="V3" s="362"/>
      <c r="W3" s="362"/>
      <c r="X3" s="362"/>
      <c r="Y3" s="362"/>
      <c r="Z3" s="362"/>
      <c r="AA3" s="362"/>
      <c r="AB3" s="362"/>
      <c r="AC3" s="362"/>
      <c r="AD3" s="362"/>
      <c r="AE3" s="364"/>
      <c r="AF3" s="364"/>
      <c r="AG3" s="364"/>
      <c r="AH3" s="364"/>
      <c r="AI3" s="364"/>
      <c r="AJ3" s="364"/>
      <c r="AK3" s="364"/>
    </row>
    <row r="4" spans="1:37" x14ac:dyDescent="0.25">
      <c r="A4" s="361"/>
      <c r="B4" s="361"/>
      <c r="C4" s="361"/>
      <c r="D4" s="361"/>
      <c r="E4" s="361"/>
      <c r="F4" s="361"/>
      <c r="G4" s="361"/>
      <c r="H4" s="361"/>
      <c r="I4" s="361"/>
      <c r="J4" s="361"/>
      <c r="K4" s="361"/>
      <c r="L4" s="361"/>
      <c r="M4" s="361"/>
      <c r="N4" s="361"/>
      <c r="O4" s="361"/>
      <c r="P4" s="361"/>
      <c r="Q4" s="361"/>
      <c r="R4" s="361"/>
      <c r="S4" s="361"/>
      <c r="T4" s="361"/>
      <c r="U4" s="362"/>
      <c r="V4" s="362"/>
      <c r="W4" s="362"/>
      <c r="X4" s="362"/>
      <c r="Y4" s="362"/>
      <c r="Z4" s="362"/>
      <c r="AA4" s="362"/>
      <c r="AB4" s="362"/>
      <c r="AC4" s="362"/>
      <c r="AD4" s="362"/>
      <c r="AE4" s="364"/>
      <c r="AF4" s="364"/>
      <c r="AG4" s="364"/>
      <c r="AH4" s="364"/>
      <c r="AI4" s="364"/>
      <c r="AJ4" s="364"/>
      <c r="AK4" s="364"/>
    </row>
    <row r="5" spans="1:37" x14ac:dyDescent="0.25">
      <c r="A5" s="361"/>
      <c r="B5" s="361"/>
      <c r="C5" s="361"/>
      <c r="D5" s="361"/>
      <c r="E5" s="361"/>
      <c r="F5" s="361"/>
      <c r="G5" s="361"/>
      <c r="H5" s="361"/>
      <c r="I5" s="361"/>
      <c r="J5" s="361"/>
      <c r="K5" s="361"/>
      <c r="L5" s="361"/>
      <c r="M5" s="361"/>
      <c r="N5" s="361"/>
      <c r="O5" s="361"/>
      <c r="P5" s="361"/>
      <c r="Q5" s="361"/>
      <c r="R5" s="361"/>
      <c r="S5" s="361"/>
      <c r="T5" s="361"/>
      <c r="U5" s="362"/>
      <c r="V5" s="362"/>
      <c r="W5" s="362"/>
      <c r="X5" s="362"/>
      <c r="Y5" s="362"/>
      <c r="Z5" s="362"/>
      <c r="AA5" s="362"/>
      <c r="AB5" s="362"/>
      <c r="AC5" s="362"/>
      <c r="AD5" s="362"/>
      <c r="AE5" s="364"/>
      <c r="AF5" s="364"/>
      <c r="AG5" s="364"/>
      <c r="AH5" s="364"/>
      <c r="AI5" s="364"/>
      <c r="AJ5" s="364"/>
      <c r="AK5" s="364"/>
    </row>
    <row r="6" spans="1:37" x14ac:dyDescent="0.25">
      <c r="A6" s="361"/>
      <c r="B6" s="361"/>
      <c r="C6" s="361"/>
      <c r="D6" s="361"/>
      <c r="E6" s="361"/>
      <c r="F6" s="361"/>
      <c r="G6" s="361"/>
      <c r="H6" s="361"/>
      <c r="I6" s="361"/>
      <c r="J6" s="361"/>
      <c r="K6" s="361"/>
      <c r="L6" s="361"/>
      <c r="M6" s="361"/>
      <c r="N6" s="361"/>
      <c r="O6" s="361"/>
      <c r="P6" s="361"/>
      <c r="Q6" s="361"/>
      <c r="R6" s="361"/>
      <c r="S6" s="361"/>
      <c r="T6" s="361"/>
      <c r="U6" s="362"/>
      <c r="V6" s="362"/>
      <c r="W6" s="362"/>
      <c r="X6" s="362"/>
      <c r="Y6" s="362"/>
      <c r="Z6" s="362"/>
      <c r="AA6" s="362"/>
      <c r="AB6" s="362"/>
      <c r="AC6" s="362"/>
      <c r="AD6" s="362"/>
      <c r="AE6" s="364"/>
      <c r="AF6" s="364"/>
      <c r="AG6" s="364"/>
      <c r="AH6" s="364"/>
      <c r="AI6" s="364"/>
      <c r="AJ6" s="364"/>
      <c r="AK6" s="364"/>
    </row>
    <row r="7" spans="1:37" x14ac:dyDescent="0.25">
      <c r="A7" s="361"/>
      <c r="B7" s="361"/>
      <c r="C7" s="361"/>
      <c r="D7" s="361"/>
      <c r="E7" s="361"/>
      <c r="F7" s="361"/>
      <c r="G7" s="361"/>
      <c r="H7" s="361"/>
      <c r="I7" s="361"/>
      <c r="J7" s="361"/>
      <c r="K7" s="361"/>
      <c r="L7" s="361"/>
      <c r="M7" s="361"/>
      <c r="N7" s="361"/>
      <c r="O7" s="361"/>
      <c r="P7" s="361"/>
      <c r="Q7" s="361"/>
      <c r="R7" s="361"/>
      <c r="S7" s="361"/>
      <c r="T7" s="361"/>
      <c r="U7" s="362"/>
      <c r="V7" s="362"/>
      <c r="W7" s="362"/>
      <c r="X7" s="362"/>
      <c r="Y7" s="362"/>
      <c r="Z7" s="362"/>
      <c r="AA7" s="362"/>
      <c r="AB7" s="362"/>
      <c r="AC7" s="362"/>
      <c r="AD7" s="362"/>
      <c r="AE7" s="364"/>
      <c r="AF7" s="364"/>
      <c r="AG7" s="364"/>
      <c r="AH7" s="364"/>
      <c r="AI7" s="364"/>
      <c r="AJ7" s="364"/>
      <c r="AK7" s="364"/>
    </row>
    <row r="8" spans="1:37" x14ac:dyDescent="0.25">
      <c r="A8" s="361"/>
      <c r="B8" s="361"/>
      <c r="C8" s="361"/>
      <c r="D8" s="361"/>
      <c r="E8" s="361"/>
      <c r="F8" s="361"/>
      <c r="G8" s="361"/>
      <c r="H8" s="361"/>
      <c r="I8" s="361"/>
      <c r="J8" s="361"/>
      <c r="K8" s="361"/>
      <c r="L8" s="361"/>
      <c r="M8" s="361"/>
      <c r="N8" s="361"/>
      <c r="O8" s="361"/>
      <c r="P8" s="361"/>
      <c r="Q8" s="361"/>
      <c r="R8" s="361"/>
      <c r="S8" s="361"/>
      <c r="T8" s="361"/>
      <c r="U8" s="362"/>
      <c r="V8" s="362"/>
      <c r="W8" s="362"/>
      <c r="X8" s="362"/>
      <c r="Y8" s="362"/>
      <c r="Z8" s="362"/>
      <c r="AA8" s="362"/>
      <c r="AB8" s="362"/>
      <c r="AC8" s="362"/>
      <c r="AD8" s="362"/>
      <c r="AE8" s="364"/>
      <c r="AF8" s="364"/>
      <c r="AG8" s="364"/>
      <c r="AH8" s="364"/>
      <c r="AI8" s="364"/>
      <c r="AJ8" s="364"/>
      <c r="AK8" s="364"/>
    </row>
    <row r="9" spans="1:37" x14ac:dyDescent="0.25">
      <c r="A9" s="361"/>
      <c r="B9" s="361"/>
      <c r="C9" s="361"/>
      <c r="D9" s="361"/>
      <c r="E9" s="361"/>
      <c r="F9" s="361"/>
      <c r="G9" s="361"/>
      <c r="H9" s="361"/>
      <c r="I9" s="361"/>
      <c r="J9" s="361"/>
      <c r="K9" s="361"/>
      <c r="L9" s="361"/>
      <c r="M9" s="361"/>
      <c r="N9" s="361"/>
      <c r="O9" s="361"/>
      <c r="P9" s="361"/>
      <c r="Q9" s="361"/>
      <c r="R9" s="361"/>
      <c r="S9" s="361"/>
      <c r="T9" s="361"/>
      <c r="U9" s="362"/>
      <c r="V9" s="362"/>
      <c r="W9" s="362"/>
      <c r="X9" s="362"/>
      <c r="Y9" s="362"/>
      <c r="Z9" s="362"/>
      <c r="AA9" s="362"/>
      <c r="AB9" s="362"/>
      <c r="AC9" s="362"/>
      <c r="AD9" s="362"/>
      <c r="AE9" s="364"/>
      <c r="AF9" s="364"/>
      <c r="AG9" s="364"/>
      <c r="AH9" s="364"/>
      <c r="AI9" s="364"/>
      <c r="AJ9" s="364"/>
      <c r="AK9" s="364"/>
    </row>
    <row r="10" spans="1:37" x14ac:dyDescent="0.25">
      <c r="A10" s="361"/>
      <c r="B10" s="361"/>
      <c r="C10" s="361"/>
      <c r="D10" s="361"/>
      <c r="E10" s="361"/>
      <c r="F10" s="361"/>
      <c r="G10" s="361"/>
      <c r="H10" s="361"/>
      <c r="I10" s="361"/>
      <c r="J10" s="361"/>
      <c r="K10" s="361"/>
      <c r="L10" s="361"/>
      <c r="M10" s="361"/>
      <c r="N10" s="361"/>
      <c r="O10" s="361"/>
      <c r="P10" s="361"/>
      <c r="Q10" s="361"/>
      <c r="R10" s="361"/>
      <c r="S10" s="361"/>
      <c r="T10" s="361"/>
      <c r="U10" s="362"/>
      <c r="V10" s="362"/>
      <c r="W10" s="362"/>
      <c r="X10" s="362"/>
      <c r="Y10" s="362"/>
      <c r="Z10" s="362"/>
      <c r="AA10" s="362"/>
      <c r="AB10" s="362"/>
      <c r="AC10" s="362"/>
      <c r="AD10" s="362"/>
      <c r="AE10" s="364"/>
      <c r="AF10" s="364"/>
      <c r="AG10" s="364"/>
      <c r="AH10" s="364"/>
      <c r="AI10" s="364"/>
      <c r="AJ10" s="364"/>
      <c r="AK10" s="364"/>
    </row>
    <row r="11" spans="1:37" x14ac:dyDescent="0.25">
      <c r="A11" s="361"/>
      <c r="B11" s="361"/>
      <c r="C11" s="361"/>
      <c r="D11" s="361"/>
      <c r="E11" s="361"/>
      <c r="F11" s="361"/>
      <c r="G11" s="361"/>
      <c r="H11" s="361"/>
      <c r="I11" s="361"/>
      <c r="J11" s="361"/>
      <c r="K11" s="361"/>
      <c r="L11" s="361"/>
      <c r="M11" s="361"/>
      <c r="N11" s="361"/>
      <c r="O11" s="361"/>
      <c r="P11" s="361"/>
      <c r="Q11" s="361"/>
      <c r="R11" s="361"/>
      <c r="S11" s="361"/>
      <c r="T11" s="361"/>
      <c r="U11" s="362"/>
      <c r="V11" s="362"/>
      <c r="W11" s="362"/>
      <c r="X11" s="362"/>
      <c r="Y11" s="362"/>
      <c r="Z11" s="362"/>
      <c r="AA11" s="362"/>
      <c r="AB11" s="362"/>
      <c r="AC11" s="362"/>
      <c r="AD11" s="362"/>
      <c r="AE11" s="364"/>
      <c r="AF11" s="364"/>
      <c r="AG11" s="364"/>
      <c r="AH11" s="364"/>
      <c r="AI11" s="364"/>
      <c r="AJ11" s="364"/>
      <c r="AK11" s="364"/>
    </row>
    <row r="12" spans="1:37" x14ac:dyDescent="0.25">
      <c r="A12" s="361"/>
      <c r="B12" s="361"/>
      <c r="C12" s="361"/>
      <c r="D12" s="361"/>
      <c r="E12" s="361"/>
      <c r="F12" s="361"/>
      <c r="G12" s="361"/>
      <c r="H12" s="361"/>
      <c r="I12" s="361"/>
      <c r="J12" s="361"/>
      <c r="K12" s="361"/>
      <c r="L12" s="361"/>
      <c r="M12" s="361"/>
      <c r="N12" s="361"/>
      <c r="O12" s="361"/>
      <c r="P12" s="361"/>
      <c r="Q12" s="361"/>
      <c r="R12" s="361"/>
      <c r="S12" s="361"/>
      <c r="T12" s="361"/>
      <c r="U12" s="362"/>
      <c r="V12" s="362"/>
      <c r="W12" s="362"/>
      <c r="X12" s="362"/>
      <c r="Y12" s="362"/>
      <c r="Z12" s="362"/>
      <c r="AA12" s="362"/>
      <c r="AB12" s="362"/>
      <c r="AC12" s="362"/>
      <c r="AD12" s="362"/>
      <c r="AE12" s="364"/>
      <c r="AF12" s="364"/>
      <c r="AG12" s="364"/>
      <c r="AH12" s="364"/>
      <c r="AI12" s="364"/>
      <c r="AJ12" s="364"/>
      <c r="AK12" s="364"/>
    </row>
    <row r="13" spans="1:37" x14ac:dyDescent="0.25">
      <c r="A13" s="361"/>
      <c r="B13" s="361"/>
      <c r="C13" s="361"/>
      <c r="D13" s="361"/>
      <c r="E13" s="361"/>
      <c r="F13" s="361"/>
      <c r="G13" s="361"/>
      <c r="H13" s="361"/>
      <c r="I13" s="361"/>
      <c r="J13" s="361"/>
      <c r="K13" s="361"/>
      <c r="L13" s="361"/>
      <c r="M13" s="361"/>
      <c r="N13" s="361"/>
      <c r="O13" s="361"/>
      <c r="P13" s="361"/>
      <c r="Q13" s="361"/>
      <c r="R13" s="361"/>
      <c r="S13" s="361"/>
      <c r="T13" s="361"/>
      <c r="U13" s="362"/>
      <c r="V13" s="362"/>
      <c r="W13" s="362"/>
      <c r="X13" s="362"/>
      <c r="Y13" s="362"/>
      <c r="Z13" s="362"/>
      <c r="AA13" s="362"/>
      <c r="AB13" s="362"/>
      <c r="AC13" s="362"/>
      <c r="AD13" s="362"/>
      <c r="AE13" s="364"/>
      <c r="AF13" s="364"/>
      <c r="AG13" s="364"/>
      <c r="AH13" s="364"/>
      <c r="AI13" s="364"/>
      <c r="AJ13" s="364"/>
      <c r="AK13" s="364"/>
    </row>
    <row r="14" spans="1:37" x14ac:dyDescent="0.25">
      <c r="A14" s="361"/>
      <c r="B14" s="361"/>
      <c r="C14" s="361"/>
      <c r="D14" s="361"/>
      <c r="E14" s="361"/>
      <c r="F14" s="361"/>
      <c r="G14" s="361"/>
      <c r="H14" s="361"/>
      <c r="I14" s="361"/>
      <c r="J14" s="361"/>
      <c r="K14" s="361"/>
      <c r="L14" s="361"/>
      <c r="M14" s="361"/>
      <c r="N14" s="361"/>
      <c r="O14" s="361"/>
      <c r="P14" s="361"/>
      <c r="Q14" s="361"/>
      <c r="R14" s="361"/>
      <c r="S14" s="361"/>
      <c r="T14" s="361"/>
      <c r="U14" s="362"/>
      <c r="V14" s="362"/>
      <c r="W14" s="362"/>
      <c r="X14" s="362"/>
      <c r="Y14" s="362"/>
      <c r="Z14" s="362"/>
      <c r="AA14" s="362"/>
      <c r="AB14" s="362"/>
      <c r="AC14" s="362"/>
      <c r="AD14" s="362"/>
      <c r="AE14" s="364"/>
      <c r="AF14" s="364"/>
      <c r="AG14" s="364"/>
      <c r="AH14" s="364"/>
      <c r="AI14" s="364"/>
      <c r="AJ14" s="364"/>
      <c r="AK14" s="364"/>
    </row>
    <row r="15" spans="1:37" x14ac:dyDescent="0.25">
      <c r="A15" s="361"/>
      <c r="B15" s="361"/>
      <c r="C15" s="361"/>
      <c r="D15" s="361"/>
      <c r="E15" s="361"/>
      <c r="F15" s="361"/>
      <c r="G15" s="361"/>
      <c r="H15" s="361"/>
      <c r="I15" s="361"/>
      <c r="J15" s="361"/>
      <c r="K15" s="361"/>
      <c r="L15" s="361"/>
      <c r="M15" s="361"/>
      <c r="N15" s="361"/>
      <c r="O15" s="361"/>
      <c r="P15" s="361"/>
      <c r="Q15" s="361"/>
      <c r="R15" s="361"/>
      <c r="S15" s="361"/>
      <c r="T15" s="361"/>
      <c r="U15" s="362"/>
      <c r="V15" s="362"/>
      <c r="W15" s="362"/>
      <c r="X15" s="362"/>
      <c r="Y15" s="362"/>
      <c r="Z15" s="362"/>
      <c r="AA15" s="362"/>
      <c r="AB15" s="362"/>
      <c r="AC15" s="362"/>
      <c r="AD15" s="362"/>
      <c r="AE15" s="364"/>
      <c r="AF15" s="364"/>
      <c r="AG15" s="364"/>
      <c r="AH15" s="364"/>
      <c r="AI15" s="364"/>
      <c r="AJ15" s="364"/>
      <c r="AK15" s="364"/>
    </row>
    <row r="16" spans="1:37" x14ac:dyDescent="0.25">
      <c r="A16" s="361"/>
      <c r="B16" s="361"/>
      <c r="C16" s="361"/>
      <c r="D16" s="361"/>
      <c r="E16" s="361"/>
      <c r="F16" s="361"/>
      <c r="G16" s="361"/>
      <c r="H16" s="361"/>
      <c r="I16" s="361"/>
      <c r="J16" s="361"/>
      <c r="K16" s="361"/>
      <c r="L16" s="361"/>
      <c r="M16" s="361"/>
      <c r="N16" s="361"/>
      <c r="O16" s="361"/>
      <c r="P16" s="361"/>
      <c r="Q16" s="361"/>
      <c r="R16" s="361"/>
      <c r="S16" s="361"/>
      <c r="T16" s="361"/>
      <c r="U16" s="362"/>
      <c r="V16" s="362"/>
      <c r="W16" s="362"/>
      <c r="X16" s="362"/>
      <c r="Y16" s="362"/>
      <c r="Z16" s="362"/>
      <c r="AA16" s="362"/>
      <c r="AB16" s="362"/>
      <c r="AC16" s="362"/>
      <c r="AD16" s="362"/>
      <c r="AE16" s="364"/>
      <c r="AF16" s="364"/>
      <c r="AG16" s="364"/>
      <c r="AH16" s="364"/>
      <c r="AI16" s="364"/>
      <c r="AJ16" s="364"/>
      <c r="AK16" s="364"/>
    </row>
    <row r="17" spans="1:37" x14ac:dyDescent="0.25">
      <c r="A17" s="361"/>
      <c r="B17" s="361"/>
      <c r="C17" s="361"/>
      <c r="D17" s="361"/>
      <c r="E17" s="361"/>
      <c r="F17" s="361"/>
      <c r="G17" s="361"/>
      <c r="H17" s="361"/>
      <c r="I17" s="361"/>
      <c r="J17" s="361"/>
      <c r="K17" s="361"/>
      <c r="L17" s="361"/>
      <c r="M17" s="361"/>
      <c r="N17" s="361"/>
      <c r="O17" s="361"/>
      <c r="P17" s="361"/>
      <c r="Q17" s="361"/>
      <c r="R17" s="361"/>
      <c r="S17" s="361"/>
      <c r="T17" s="361"/>
      <c r="U17" s="362"/>
      <c r="V17" s="362"/>
      <c r="W17" s="362"/>
      <c r="X17" s="362"/>
      <c r="Y17" s="362"/>
      <c r="Z17" s="362"/>
      <c r="AA17" s="362"/>
      <c r="AB17" s="362"/>
      <c r="AC17" s="362"/>
      <c r="AD17" s="362"/>
      <c r="AE17" s="364"/>
      <c r="AF17" s="364"/>
      <c r="AG17" s="364"/>
      <c r="AH17" s="364"/>
      <c r="AI17" s="364"/>
      <c r="AJ17" s="364"/>
      <c r="AK17" s="364"/>
    </row>
    <row r="18" spans="1:37" x14ac:dyDescent="0.25">
      <c r="A18" s="361"/>
      <c r="B18" s="361"/>
      <c r="C18" s="361"/>
      <c r="D18" s="361"/>
      <c r="E18" s="361"/>
      <c r="F18" s="361"/>
      <c r="G18" s="361"/>
      <c r="H18" s="361"/>
      <c r="I18" s="361"/>
      <c r="J18" s="361"/>
      <c r="K18" s="361"/>
      <c r="L18" s="361"/>
      <c r="M18" s="361"/>
      <c r="N18" s="361"/>
      <c r="O18" s="361"/>
      <c r="P18" s="361"/>
      <c r="Q18" s="361"/>
      <c r="R18" s="361"/>
      <c r="S18" s="361"/>
      <c r="T18" s="361"/>
      <c r="U18" s="362"/>
      <c r="V18" s="362"/>
      <c r="W18" s="362"/>
      <c r="X18" s="362"/>
      <c r="Y18" s="362"/>
      <c r="Z18" s="362"/>
      <c r="AA18" s="362"/>
      <c r="AB18" s="362"/>
      <c r="AC18" s="362"/>
      <c r="AD18" s="362"/>
      <c r="AE18" s="364"/>
      <c r="AF18" s="364"/>
      <c r="AG18" s="364"/>
      <c r="AH18" s="364"/>
      <c r="AI18" s="364"/>
      <c r="AJ18" s="364"/>
      <c r="AK18" s="364"/>
    </row>
    <row r="19" spans="1:37" x14ac:dyDescent="0.25">
      <c r="A19" s="361"/>
      <c r="B19" s="361"/>
      <c r="C19" s="361"/>
      <c r="D19" s="361"/>
      <c r="E19" s="361"/>
      <c r="F19" s="361"/>
      <c r="G19" s="361"/>
      <c r="H19" s="361"/>
      <c r="I19" s="361"/>
      <c r="J19" s="361"/>
      <c r="K19" s="361"/>
      <c r="L19" s="361"/>
      <c r="M19" s="361"/>
      <c r="N19" s="361"/>
      <c r="O19" s="361"/>
      <c r="P19" s="361"/>
      <c r="Q19" s="361"/>
      <c r="R19" s="361"/>
      <c r="S19" s="361"/>
      <c r="T19" s="361"/>
      <c r="U19" s="362"/>
      <c r="V19" s="362"/>
      <c r="W19" s="362"/>
      <c r="X19" s="362"/>
      <c r="Y19" s="362"/>
      <c r="Z19" s="362"/>
      <c r="AA19" s="362"/>
      <c r="AB19" s="362"/>
      <c r="AC19" s="362"/>
      <c r="AD19" s="362"/>
      <c r="AE19" s="364"/>
      <c r="AF19" s="364"/>
      <c r="AG19" s="364"/>
      <c r="AH19" s="364"/>
      <c r="AI19" s="364"/>
      <c r="AJ19" s="364"/>
      <c r="AK19" s="364"/>
    </row>
    <row r="20" spans="1:37" x14ac:dyDescent="0.25">
      <c r="A20" s="361"/>
      <c r="B20" s="361"/>
      <c r="C20" s="361"/>
      <c r="D20" s="361"/>
      <c r="E20" s="361"/>
      <c r="F20" s="361"/>
      <c r="G20" s="361"/>
      <c r="H20" s="361"/>
      <c r="I20" s="361"/>
      <c r="J20" s="361"/>
      <c r="K20" s="361"/>
      <c r="L20" s="361"/>
      <c r="M20" s="361"/>
      <c r="N20" s="361"/>
      <c r="O20" s="361"/>
      <c r="P20" s="361"/>
      <c r="Q20" s="361"/>
      <c r="R20" s="361"/>
      <c r="S20" s="361"/>
      <c r="T20" s="361"/>
      <c r="U20" s="362"/>
      <c r="V20" s="362"/>
      <c r="W20" s="362"/>
      <c r="X20" s="362"/>
      <c r="Y20" s="362"/>
      <c r="Z20" s="362"/>
      <c r="AA20" s="362"/>
      <c r="AB20" s="362"/>
      <c r="AC20" s="362"/>
      <c r="AD20" s="362"/>
      <c r="AE20" s="364"/>
      <c r="AF20" s="364"/>
      <c r="AG20" s="364"/>
      <c r="AH20" s="364"/>
      <c r="AI20" s="364"/>
      <c r="AJ20" s="364"/>
      <c r="AK20" s="364"/>
    </row>
    <row r="21" spans="1:37" x14ac:dyDescent="0.25">
      <c r="A21" s="361"/>
      <c r="B21" s="361"/>
      <c r="C21" s="361"/>
      <c r="D21" s="361"/>
      <c r="E21" s="361"/>
      <c r="F21" s="361"/>
      <c r="G21" s="361"/>
      <c r="H21" s="361"/>
      <c r="I21" s="361"/>
      <c r="J21" s="361"/>
      <c r="K21" s="361"/>
      <c r="L21" s="361"/>
      <c r="M21" s="361"/>
      <c r="N21" s="361"/>
      <c r="O21" s="361"/>
      <c r="P21" s="361"/>
      <c r="Q21" s="361"/>
      <c r="R21" s="361"/>
      <c r="S21" s="361"/>
      <c r="T21" s="361"/>
      <c r="U21" s="362"/>
      <c r="V21" s="362"/>
      <c r="W21" s="362"/>
      <c r="X21" s="362"/>
      <c r="Y21" s="362"/>
      <c r="Z21" s="362"/>
      <c r="AA21" s="362"/>
      <c r="AB21" s="362"/>
      <c r="AC21" s="362"/>
      <c r="AD21" s="362"/>
      <c r="AE21" s="364"/>
      <c r="AF21" s="364"/>
      <c r="AG21" s="364"/>
      <c r="AH21" s="364"/>
      <c r="AI21" s="364"/>
      <c r="AJ21" s="364"/>
      <c r="AK21" s="364"/>
    </row>
    <row r="22" spans="1:37" x14ac:dyDescent="0.25">
      <c r="A22" s="361"/>
      <c r="B22" s="361"/>
      <c r="C22" s="361"/>
      <c r="D22" s="361"/>
      <c r="E22" s="361"/>
      <c r="F22" s="361"/>
      <c r="G22" s="361"/>
      <c r="H22" s="361"/>
      <c r="I22" s="361"/>
      <c r="J22" s="361"/>
      <c r="K22" s="361"/>
      <c r="L22" s="361"/>
      <c r="M22" s="361"/>
      <c r="N22" s="361"/>
      <c r="O22" s="361"/>
      <c r="P22" s="361"/>
      <c r="Q22" s="361"/>
      <c r="R22" s="361"/>
      <c r="S22" s="361"/>
      <c r="T22" s="361"/>
      <c r="U22" s="362"/>
      <c r="V22" s="362"/>
      <c r="W22" s="362"/>
      <c r="X22" s="362"/>
      <c r="Y22" s="362"/>
      <c r="Z22" s="362"/>
      <c r="AA22" s="362"/>
      <c r="AB22" s="362"/>
      <c r="AC22" s="362"/>
      <c r="AD22" s="362"/>
      <c r="AE22" s="364"/>
      <c r="AF22" s="364"/>
      <c r="AG22" s="364"/>
      <c r="AH22" s="364"/>
      <c r="AI22" s="364"/>
      <c r="AJ22" s="364"/>
      <c r="AK22" s="364"/>
    </row>
    <row r="23" spans="1:37" x14ac:dyDescent="0.25">
      <c r="A23" s="361"/>
      <c r="B23" s="361"/>
      <c r="C23" s="361"/>
      <c r="D23" s="361"/>
      <c r="E23" s="361"/>
      <c r="F23" s="361"/>
      <c r="G23" s="361"/>
      <c r="H23" s="361"/>
      <c r="I23" s="361"/>
      <c r="J23" s="361"/>
      <c r="K23" s="361"/>
      <c r="L23" s="361"/>
      <c r="M23" s="361"/>
      <c r="N23" s="361"/>
      <c r="O23" s="361"/>
      <c r="P23" s="361"/>
      <c r="Q23" s="361"/>
      <c r="R23" s="361"/>
      <c r="S23" s="361"/>
      <c r="T23" s="361"/>
      <c r="U23" s="362"/>
      <c r="V23" s="362"/>
      <c r="W23" s="362"/>
      <c r="X23" s="362"/>
      <c r="Y23" s="362"/>
      <c r="Z23" s="362"/>
      <c r="AA23" s="362"/>
      <c r="AB23" s="362"/>
      <c r="AC23" s="362"/>
      <c r="AD23" s="362"/>
      <c r="AE23" s="364"/>
      <c r="AF23" s="364"/>
      <c r="AG23" s="364"/>
      <c r="AH23" s="364"/>
      <c r="AI23" s="364"/>
      <c r="AJ23" s="364"/>
      <c r="AK23" s="364"/>
    </row>
    <row r="24" spans="1:37" x14ac:dyDescent="0.25">
      <c r="A24" s="361"/>
      <c r="B24" s="361"/>
      <c r="C24" s="361"/>
      <c r="D24" s="361"/>
      <c r="E24" s="361"/>
      <c r="F24" s="361"/>
      <c r="G24" s="361"/>
      <c r="H24" s="361"/>
      <c r="I24" s="361"/>
      <c r="J24" s="361"/>
      <c r="K24" s="361"/>
      <c r="L24" s="361"/>
      <c r="M24" s="361"/>
      <c r="N24" s="361"/>
      <c r="O24" s="361"/>
      <c r="P24" s="361"/>
      <c r="Q24" s="361"/>
      <c r="R24" s="361"/>
      <c r="S24" s="361"/>
      <c r="T24" s="361"/>
      <c r="U24" s="362"/>
      <c r="V24" s="362"/>
      <c r="W24" s="362"/>
      <c r="X24" s="362"/>
      <c r="Y24" s="362"/>
      <c r="Z24" s="362"/>
      <c r="AA24" s="362"/>
      <c r="AB24" s="362"/>
      <c r="AC24" s="362"/>
      <c r="AD24" s="362"/>
      <c r="AE24" s="364"/>
      <c r="AF24" s="364"/>
      <c r="AG24" s="364"/>
      <c r="AH24" s="364"/>
      <c r="AI24" s="364"/>
      <c r="AJ24" s="364"/>
      <c r="AK24" s="364"/>
    </row>
    <row r="25" spans="1:37" x14ac:dyDescent="0.25">
      <c r="A25" s="361"/>
      <c r="B25" s="361"/>
      <c r="C25" s="361"/>
      <c r="D25" s="361"/>
      <c r="E25" s="361"/>
      <c r="F25" s="361"/>
      <c r="G25" s="361"/>
      <c r="H25" s="361"/>
      <c r="I25" s="361"/>
      <c r="J25" s="361"/>
      <c r="K25" s="361"/>
      <c r="L25" s="361"/>
      <c r="M25" s="361"/>
      <c r="N25" s="361"/>
      <c r="O25" s="361"/>
      <c r="P25" s="361"/>
      <c r="Q25" s="361"/>
      <c r="R25" s="361"/>
      <c r="S25" s="361"/>
      <c r="T25" s="361"/>
      <c r="U25" s="362"/>
      <c r="V25" s="362"/>
      <c r="W25" s="362"/>
      <c r="X25" s="362"/>
      <c r="Y25" s="362"/>
      <c r="Z25" s="362"/>
      <c r="AA25" s="362"/>
      <c r="AB25" s="362"/>
      <c r="AC25" s="362"/>
      <c r="AD25" s="362"/>
      <c r="AE25" s="364"/>
      <c r="AF25" s="364"/>
      <c r="AG25" s="364"/>
      <c r="AH25" s="364"/>
      <c r="AI25" s="364"/>
      <c r="AJ25" s="364"/>
      <c r="AK25" s="364"/>
    </row>
    <row r="26" spans="1:37" x14ac:dyDescent="0.25">
      <c r="A26" s="361"/>
      <c r="B26" s="361"/>
      <c r="C26" s="361"/>
      <c r="D26" s="361"/>
      <c r="E26" s="361"/>
      <c r="F26" s="361"/>
      <c r="G26" s="361"/>
      <c r="H26" s="361"/>
      <c r="I26" s="361"/>
      <c r="J26" s="361"/>
      <c r="K26" s="361"/>
      <c r="L26" s="361"/>
      <c r="M26" s="361"/>
      <c r="N26" s="361"/>
      <c r="O26" s="361"/>
      <c r="P26" s="361"/>
      <c r="Q26" s="361"/>
      <c r="R26" s="361"/>
      <c r="S26" s="361"/>
      <c r="T26" s="361"/>
      <c r="U26" s="362"/>
      <c r="V26" s="362"/>
      <c r="W26" s="362"/>
      <c r="X26" s="362"/>
      <c r="Y26" s="362"/>
      <c r="Z26" s="362"/>
      <c r="AA26" s="362"/>
      <c r="AB26" s="362"/>
      <c r="AC26" s="362"/>
      <c r="AD26" s="362"/>
      <c r="AE26" s="364"/>
      <c r="AF26" s="364"/>
      <c r="AG26" s="364"/>
      <c r="AH26" s="364"/>
      <c r="AI26" s="364"/>
      <c r="AJ26" s="364"/>
      <c r="AK26" s="364"/>
    </row>
    <row r="27" spans="1:37" x14ac:dyDescent="0.25">
      <c r="A27" s="361"/>
      <c r="B27" s="361"/>
      <c r="C27" s="361"/>
      <c r="D27" s="361"/>
      <c r="E27" s="361"/>
      <c r="F27" s="361"/>
      <c r="G27" s="361"/>
      <c r="H27" s="361"/>
      <c r="I27" s="361"/>
      <c r="J27" s="361"/>
      <c r="K27" s="361"/>
      <c r="L27" s="361"/>
      <c r="M27" s="361"/>
      <c r="N27" s="361"/>
      <c r="O27" s="361"/>
      <c r="P27" s="361"/>
      <c r="Q27" s="361"/>
      <c r="R27" s="361"/>
      <c r="S27" s="361"/>
      <c r="T27" s="361"/>
      <c r="U27" s="362"/>
      <c r="V27" s="362"/>
      <c r="W27" s="362"/>
      <c r="X27" s="362"/>
      <c r="Y27" s="362"/>
      <c r="Z27" s="362"/>
      <c r="AA27" s="362"/>
      <c r="AB27" s="362"/>
      <c r="AC27" s="362"/>
      <c r="AD27" s="362"/>
      <c r="AE27" s="364"/>
      <c r="AF27" s="364"/>
      <c r="AG27" s="364"/>
      <c r="AH27" s="364"/>
      <c r="AI27" s="364"/>
      <c r="AJ27" s="364"/>
      <c r="AK27" s="364"/>
    </row>
    <row r="28" spans="1:37" x14ac:dyDescent="0.25">
      <c r="A28" s="361"/>
      <c r="B28" s="361"/>
      <c r="C28" s="361"/>
      <c r="D28" s="361"/>
      <c r="E28" s="361"/>
      <c r="F28" s="361"/>
      <c r="G28" s="361"/>
      <c r="H28" s="361"/>
      <c r="I28" s="361"/>
      <c r="J28" s="361"/>
      <c r="K28" s="361"/>
      <c r="L28" s="361"/>
      <c r="M28" s="361"/>
      <c r="N28" s="361"/>
      <c r="O28" s="361"/>
      <c r="P28" s="361"/>
      <c r="Q28" s="361"/>
      <c r="R28" s="361"/>
      <c r="S28" s="361"/>
      <c r="T28" s="361"/>
      <c r="U28" s="362"/>
      <c r="V28" s="362"/>
      <c r="W28" s="362"/>
      <c r="X28" s="362"/>
      <c r="Y28" s="362"/>
      <c r="Z28" s="362"/>
      <c r="AA28" s="362"/>
      <c r="AB28" s="362"/>
      <c r="AC28" s="362"/>
      <c r="AD28" s="362"/>
      <c r="AE28" s="364"/>
      <c r="AF28" s="364"/>
      <c r="AG28" s="364"/>
      <c r="AH28" s="364"/>
      <c r="AI28" s="364"/>
      <c r="AJ28" s="364"/>
      <c r="AK28" s="364"/>
    </row>
    <row r="29" spans="1:37" x14ac:dyDescent="0.25">
      <c r="A29" s="361"/>
      <c r="B29" s="361"/>
      <c r="C29" s="361"/>
      <c r="D29" s="361"/>
      <c r="E29" s="361"/>
      <c r="F29" s="361"/>
      <c r="G29" s="361"/>
      <c r="H29" s="361"/>
      <c r="I29" s="361"/>
      <c r="J29" s="361"/>
      <c r="K29" s="361"/>
      <c r="L29" s="361"/>
      <c r="M29" s="361"/>
      <c r="N29" s="361"/>
      <c r="O29" s="361"/>
      <c r="P29" s="361"/>
      <c r="Q29" s="361"/>
      <c r="R29" s="361"/>
      <c r="S29" s="361"/>
      <c r="T29" s="361"/>
      <c r="U29" s="362"/>
      <c r="V29" s="362"/>
      <c r="W29" s="362"/>
      <c r="X29" s="362"/>
      <c r="Y29" s="362"/>
      <c r="Z29" s="362"/>
      <c r="AA29" s="362"/>
      <c r="AB29" s="362"/>
      <c r="AC29" s="362"/>
      <c r="AD29" s="362"/>
      <c r="AE29" s="364"/>
      <c r="AF29" s="364"/>
      <c r="AG29" s="364"/>
      <c r="AH29" s="364"/>
      <c r="AI29" s="364"/>
      <c r="AJ29" s="364"/>
      <c r="AK29" s="364"/>
    </row>
    <row r="30" spans="1:37" x14ac:dyDescent="0.25">
      <c r="A30" s="361"/>
      <c r="B30" s="361"/>
      <c r="C30" s="361"/>
      <c r="D30" s="361"/>
      <c r="E30" s="361"/>
      <c r="F30" s="361"/>
      <c r="G30" s="361"/>
      <c r="H30" s="361"/>
      <c r="I30" s="361"/>
      <c r="J30" s="361"/>
      <c r="K30" s="361"/>
      <c r="L30" s="361"/>
      <c r="M30" s="361"/>
      <c r="N30" s="361"/>
      <c r="O30" s="361"/>
      <c r="P30" s="361"/>
      <c r="Q30" s="361"/>
      <c r="R30" s="361"/>
      <c r="S30" s="361"/>
      <c r="T30" s="361"/>
      <c r="U30" s="362"/>
      <c r="V30" s="362"/>
      <c r="W30" s="362"/>
      <c r="X30" s="362"/>
      <c r="Y30" s="362"/>
      <c r="Z30" s="362"/>
      <c r="AA30" s="362"/>
      <c r="AB30" s="362"/>
      <c r="AC30" s="362"/>
      <c r="AD30" s="362"/>
      <c r="AE30" s="364"/>
      <c r="AF30" s="364"/>
      <c r="AG30" s="364"/>
      <c r="AH30" s="364"/>
      <c r="AI30" s="364"/>
      <c r="AJ30" s="364"/>
      <c r="AK30" s="364"/>
    </row>
    <row r="31" spans="1:37" x14ac:dyDescent="0.25">
      <c r="A31" s="361"/>
      <c r="B31" s="361"/>
      <c r="C31" s="361"/>
      <c r="D31" s="361"/>
      <c r="E31" s="361"/>
      <c r="F31" s="361"/>
      <c r="G31" s="361"/>
      <c r="H31" s="361"/>
      <c r="I31" s="361"/>
      <c r="J31" s="361"/>
      <c r="K31" s="361"/>
      <c r="L31" s="361"/>
      <c r="M31" s="361"/>
      <c r="N31" s="361"/>
      <c r="O31" s="361"/>
      <c r="P31" s="361"/>
      <c r="Q31" s="361"/>
      <c r="R31" s="361"/>
      <c r="S31" s="361"/>
      <c r="T31" s="361"/>
      <c r="U31" s="362"/>
      <c r="V31" s="362"/>
      <c r="W31" s="362"/>
      <c r="X31" s="362"/>
      <c r="Y31" s="362"/>
      <c r="Z31" s="362"/>
      <c r="AA31" s="362"/>
      <c r="AB31" s="362"/>
      <c r="AC31" s="362"/>
      <c r="AD31" s="362"/>
      <c r="AE31" s="364"/>
      <c r="AF31" s="364"/>
      <c r="AG31" s="364"/>
      <c r="AH31" s="364"/>
      <c r="AI31" s="364"/>
      <c r="AJ31" s="364"/>
      <c r="AK31" s="364"/>
    </row>
    <row r="32" spans="1:37" x14ac:dyDescent="0.25">
      <c r="A32" s="361"/>
      <c r="B32" s="361"/>
      <c r="C32" s="361"/>
      <c r="D32" s="361"/>
      <c r="E32" s="361"/>
      <c r="F32" s="361"/>
      <c r="G32" s="361"/>
      <c r="H32" s="361"/>
      <c r="I32" s="361"/>
      <c r="J32" s="361"/>
      <c r="K32" s="361"/>
      <c r="L32" s="361"/>
      <c r="M32" s="361"/>
      <c r="N32" s="361"/>
      <c r="O32" s="361"/>
      <c r="P32" s="361"/>
      <c r="Q32" s="361"/>
      <c r="R32" s="361"/>
      <c r="S32" s="361"/>
      <c r="T32" s="361"/>
      <c r="U32" s="362"/>
      <c r="V32" s="362"/>
      <c r="W32" s="362"/>
      <c r="X32" s="362"/>
      <c r="Y32" s="362"/>
      <c r="Z32" s="362"/>
      <c r="AA32" s="362"/>
      <c r="AB32" s="362"/>
      <c r="AC32" s="362"/>
      <c r="AD32" s="362"/>
      <c r="AE32" s="364"/>
      <c r="AF32" s="364"/>
      <c r="AG32" s="364"/>
      <c r="AH32" s="364"/>
      <c r="AI32" s="364"/>
      <c r="AJ32" s="364"/>
      <c r="AK32" s="364"/>
    </row>
    <row r="33" spans="1:37" x14ac:dyDescent="0.25">
      <c r="A33" s="361"/>
      <c r="B33" s="361"/>
      <c r="C33" s="361"/>
      <c r="D33" s="361"/>
      <c r="E33" s="361"/>
      <c r="F33" s="361"/>
      <c r="G33" s="361"/>
      <c r="H33" s="361"/>
      <c r="I33" s="361"/>
      <c r="J33" s="361"/>
      <c r="K33" s="361"/>
      <c r="L33" s="361"/>
      <c r="M33" s="361"/>
      <c r="N33" s="361"/>
      <c r="O33" s="361"/>
      <c r="P33" s="361"/>
      <c r="Q33" s="361"/>
      <c r="R33" s="361"/>
      <c r="S33" s="361"/>
      <c r="T33" s="361"/>
      <c r="U33" s="362"/>
      <c r="V33" s="362"/>
      <c r="W33" s="362"/>
      <c r="X33" s="362"/>
      <c r="Y33" s="362"/>
      <c r="Z33" s="362"/>
      <c r="AA33" s="362"/>
      <c r="AB33" s="362"/>
      <c r="AC33" s="362"/>
      <c r="AD33" s="362"/>
      <c r="AE33" s="364"/>
      <c r="AF33" s="364"/>
      <c r="AG33" s="364"/>
      <c r="AH33" s="364"/>
      <c r="AI33" s="364"/>
      <c r="AJ33" s="364"/>
      <c r="AK33" s="364"/>
    </row>
    <row r="34" spans="1:37" x14ac:dyDescent="0.25">
      <c r="A34" s="361"/>
      <c r="B34" s="361"/>
      <c r="C34" s="361"/>
      <c r="D34" s="361"/>
      <c r="E34" s="361"/>
      <c r="F34" s="361"/>
      <c r="G34" s="361"/>
      <c r="H34" s="361"/>
      <c r="I34" s="361"/>
      <c r="J34" s="361"/>
      <c r="K34" s="361"/>
      <c r="L34" s="361"/>
      <c r="M34" s="361"/>
      <c r="N34" s="361"/>
      <c r="O34" s="361"/>
      <c r="P34" s="361"/>
      <c r="Q34" s="361"/>
      <c r="R34" s="361"/>
      <c r="S34" s="361"/>
      <c r="T34" s="361"/>
      <c r="U34" s="362"/>
      <c r="V34" s="362"/>
      <c r="W34" s="362"/>
      <c r="X34" s="362"/>
      <c r="Y34" s="362"/>
      <c r="Z34" s="362"/>
      <c r="AA34" s="362"/>
      <c r="AB34" s="362"/>
      <c r="AC34" s="362"/>
      <c r="AD34" s="362"/>
      <c r="AE34" s="364"/>
      <c r="AF34" s="364"/>
      <c r="AG34" s="364"/>
      <c r="AH34" s="364"/>
      <c r="AI34" s="364"/>
      <c r="AJ34" s="364"/>
      <c r="AK34" s="364"/>
    </row>
    <row r="35" spans="1:37" x14ac:dyDescent="0.25">
      <c r="A35" s="361"/>
      <c r="B35" s="361"/>
      <c r="C35" s="361"/>
      <c r="D35" s="361"/>
      <c r="E35" s="361"/>
      <c r="F35" s="361"/>
      <c r="G35" s="361"/>
      <c r="H35" s="361"/>
      <c r="I35" s="361"/>
      <c r="J35" s="361"/>
      <c r="K35" s="361"/>
      <c r="L35" s="361"/>
      <c r="M35" s="361"/>
      <c r="N35" s="361"/>
      <c r="O35" s="361"/>
      <c r="P35" s="361"/>
      <c r="Q35" s="361"/>
      <c r="R35" s="361"/>
      <c r="S35" s="361"/>
      <c r="T35" s="361"/>
      <c r="U35" s="362"/>
      <c r="V35" s="362"/>
      <c r="W35" s="362"/>
      <c r="X35" s="362"/>
      <c r="Y35" s="362"/>
      <c r="Z35" s="362"/>
      <c r="AA35" s="362"/>
      <c r="AB35" s="362"/>
      <c r="AC35" s="362"/>
      <c r="AD35" s="362"/>
      <c r="AE35" s="364"/>
      <c r="AF35" s="364"/>
      <c r="AG35" s="364"/>
      <c r="AH35" s="364"/>
      <c r="AI35" s="364"/>
      <c r="AJ35" s="364"/>
      <c r="AK35" s="364"/>
    </row>
    <row r="36" spans="1:37" x14ac:dyDescent="0.25">
      <c r="A36" s="361"/>
      <c r="B36" s="361"/>
      <c r="C36" s="361"/>
      <c r="D36" s="361"/>
      <c r="E36" s="361"/>
      <c r="F36" s="361"/>
      <c r="G36" s="361"/>
      <c r="H36" s="361"/>
      <c r="I36" s="361"/>
      <c r="J36" s="361"/>
      <c r="K36" s="361"/>
      <c r="L36" s="361"/>
      <c r="M36" s="361"/>
      <c r="N36" s="361"/>
      <c r="O36" s="361"/>
      <c r="P36" s="361"/>
      <c r="Q36" s="361"/>
      <c r="R36" s="361"/>
      <c r="S36" s="361"/>
      <c r="T36" s="361"/>
      <c r="U36" s="362"/>
      <c r="V36" s="362"/>
      <c r="W36" s="362"/>
      <c r="X36" s="362"/>
      <c r="Y36" s="362"/>
      <c r="Z36" s="362"/>
      <c r="AA36" s="362"/>
      <c r="AB36" s="362"/>
      <c r="AC36" s="362"/>
      <c r="AD36" s="362"/>
      <c r="AE36" s="364"/>
      <c r="AF36" s="364"/>
      <c r="AG36" s="364"/>
      <c r="AH36" s="364"/>
      <c r="AI36" s="364"/>
      <c r="AJ36" s="364"/>
      <c r="AK36" s="364"/>
    </row>
    <row r="37" spans="1:37" x14ac:dyDescent="0.25">
      <c r="A37" s="361"/>
      <c r="B37" s="361"/>
      <c r="C37" s="361"/>
      <c r="D37" s="361"/>
      <c r="E37" s="361"/>
      <c r="F37" s="361"/>
      <c r="G37" s="361"/>
      <c r="H37" s="361"/>
      <c r="I37" s="361"/>
      <c r="J37" s="361"/>
      <c r="K37" s="361"/>
      <c r="L37" s="361"/>
      <c r="M37" s="361"/>
      <c r="N37" s="361"/>
      <c r="O37" s="361"/>
      <c r="P37" s="361"/>
      <c r="Q37" s="361"/>
      <c r="R37" s="361"/>
      <c r="S37" s="361"/>
      <c r="T37" s="361"/>
      <c r="U37" s="362"/>
      <c r="V37" s="362"/>
      <c r="W37" s="362"/>
      <c r="X37" s="362"/>
      <c r="Y37" s="362"/>
      <c r="Z37" s="362"/>
      <c r="AA37" s="362"/>
      <c r="AB37" s="362"/>
      <c r="AC37" s="362"/>
      <c r="AD37" s="362"/>
      <c r="AE37" s="364"/>
      <c r="AF37" s="364"/>
      <c r="AG37" s="364"/>
      <c r="AH37" s="364"/>
      <c r="AI37" s="364"/>
      <c r="AJ37" s="364"/>
      <c r="AK37" s="364"/>
    </row>
    <row r="38" spans="1:37" x14ac:dyDescent="0.25">
      <c r="A38" s="361"/>
      <c r="B38" s="361"/>
      <c r="C38" s="361"/>
      <c r="D38" s="361"/>
      <c r="E38" s="361"/>
      <c r="F38" s="361"/>
      <c r="G38" s="361"/>
      <c r="H38" s="361"/>
      <c r="I38" s="361"/>
      <c r="J38" s="361"/>
      <c r="K38" s="361"/>
      <c r="L38" s="361"/>
      <c r="M38" s="361"/>
      <c r="N38" s="361"/>
      <c r="O38" s="361"/>
      <c r="P38" s="361"/>
      <c r="Q38" s="361"/>
      <c r="R38" s="361"/>
      <c r="S38" s="361"/>
      <c r="T38" s="361"/>
      <c r="U38" s="362"/>
      <c r="V38" s="362"/>
      <c r="W38" s="362"/>
      <c r="X38" s="362"/>
      <c r="Y38" s="362"/>
      <c r="Z38" s="362"/>
      <c r="AA38" s="362"/>
      <c r="AB38" s="362"/>
      <c r="AC38" s="362"/>
      <c r="AD38" s="362"/>
      <c r="AE38" s="364"/>
      <c r="AF38" s="364"/>
      <c r="AG38" s="364"/>
      <c r="AH38" s="364"/>
      <c r="AI38" s="364"/>
      <c r="AJ38" s="364"/>
      <c r="AK38" s="364"/>
    </row>
    <row r="39" spans="1:37" x14ac:dyDescent="0.25">
      <c r="A39" s="361"/>
      <c r="B39" s="361"/>
      <c r="C39" s="361"/>
      <c r="D39" s="361"/>
      <c r="E39" s="361"/>
      <c r="F39" s="361"/>
      <c r="G39" s="361"/>
      <c r="H39" s="361"/>
      <c r="I39" s="361"/>
      <c r="J39" s="361"/>
      <c r="K39" s="361"/>
      <c r="L39" s="361"/>
      <c r="M39" s="361"/>
      <c r="N39" s="361"/>
      <c r="O39" s="361"/>
      <c r="P39" s="361"/>
      <c r="Q39" s="361"/>
      <c r="R39" s="361"/>
      <c r="S39" s="361"/>
      <c r="T39" s="361"/>
      <c r="U39" s="362"/>
      <c r="V39" s="362"/>
      <c r="W39" s="362"/>
      <c r="X39" s="362"/>
      <c r="Y39" s="362"/>
      <c r="Z39" s="362"/>
      <c r="AA39" s="362"/>
      <c r="AB39" s="362"/>
      <c r="AC39" s="362"/>
      <c r="AD39" s="362"/>
      <c r="AE39" s="364"/>
      <c r="AF39" s="364"/>
      <c r="AG39" s="364"/>
      <c r="AH39" s="364"/>
      <c r="AI39" s="364"/>
      <c r="AJ39" s="364"/>
      <c r="AK39" s="364"/>
    </row>
    <row r="40" spans="1:37" x14ac:dyDescent="0.25">
      <c r="A40" s="361"/>
      <c r="B40" s="361"/>
      <c r="C40" s="361"/>
      <c r="D40" s="361"/>
      <c r="E40" s="361"/>
      <c r="F40" s="361"/>
      <c r="G40" s="361"/>
      <c r="H40" s="361"/>
      <c r="I40" s="361"/>
      <c r="J40" s="361"/>
      <c r="K40" s="361"/>
      <c r="L40" s="361"/>
      <c r="M40" s="361"/>
      <c r="N40" s="361"/>
      <c r="O40" s="361"/>
      <c r="P40" s="361"/>
      <c r="Q40" s="361"/>
      <c r="R40" s="361"/>
      <c r="S40" s="361"/>
      <c r="T40" s="361"/>
      <c r="U40" s="362"/>
      <c r="V40" s="362"/>
      <c r="W40" s="362"/>
      <c r="X40" s="362"/>
      <c r="Y40" s="362"/>
      <c r="Z40" s="362"/>
      <c r="AA40" s="362"/>
      <c r="AB40" s="362"/>
      <c r="AC40" s="362"/>
      <c r="AD40" s="362"/>
      <c r="AE40" s="364"/>
      <c r="AF40" s="364"/>
      <c r="AG40" s="364"/>
      <c r="AH40" s="364"/>
      <c r="AI40" s="364"/>
      <c r="AJ40" s="364"/>
      <c r="AK40" s="364"/>
    </row>
    <row r="41" spans="1:37" x14ac:dyDescent="0.25">
      <c r="A41" s="361"/>
      <c r="B41" s="361"/>
      <c r="C41" s="361"/>
      <c r="D41" s="361"/>
      <c r="E41" s="361"/>
      <c r="F41" s="361"/>
      <c r="G41" s="361"/>
      <c r="H41" s="361"/>
      <c r="I41" s="361"/>
      <c r="J41" s="361"/>
      <c r="K41" s="361"/>
      <c r="L41" s="361"/>
      <c r="M41" s="361"/>
      <c r="N41" s="361"/>
      <c r="O41" s="361"/>
      <c r="P41" s="361"/>
      <c r="Q41" s="361"/>
      <c r="R41" s="361"/>
      <c r="S41" s="361"/>
      <c r="T41" s="361"/>
      <c r="U41" s="362"/>
      <c r="V41" s="362"/>
      <c r="W41" s="362"/>
      <c r="X41" s="362"/>
      <c r="Y41" s="362"/>
      <c r="Z41" s="362"/>
      <c r="AA41" s="362"/>
      <c r="AB41" s="362"/>
      <c r="AC41" s="362"/>
      <c r="AD41" s="362"/>
      <c r="AE41" s="364"/>
      <c r="AF41" s="364"/>
      <c r="AG41" s="364"/>
      <c r="AH41" s="364"/>
      <c r="AI41" s="364"/>
      <c r="AJ41" s="364"/>
      <c r="AK41" s="364"/>
    </row>
    <row r="42" spans="1:37" x14ac:dyDescent="0.25">
      <c r="A42" s="361"/>
      <c r="B42" s="361"/>
      <c r="C42" s="361"/>
      <c r="D42" s="361"/>
      <c r="E42" s="361"/>
      <c r="F42" s="361"/>
      <c r="G42" s="361"/>
      <c r="H42" s="361"/>
      <c r="I42" s="361"/>
      <c r="J42" s="361"/>
      <c r="K42" s="361"/>
      <c r="L42" s="361"/>
      <c r="M42" s="361"/>
      <c r="N42" s="361"/>
      <c r="O42" s="361"/>
      <c r="P42" s="361"/>
      <c r="Q42" s="361"/>
      <c r="R42" s="361"/>
      <c r="S42" s="361"/>
      <c r="T42" s="361"/>
      <c r="U42" s="362"/>
      <c r="V42" s="362"/>
      <c r="W42" s="362"/>
      <c r="X42" s="362"/>
      <c r="Y42" s="362"/>
      <c r="Z42" s="362"/>
      <c r="AA42" s="362"/>
      <c r="AB42" s="362"/>
      <c r="AC42" s="362"/>
      <c r="AD42" s="362"/>
      <c r="AE42" s="364"/>
      <c r="AF42" s="364"/>
      <c r="AG42" s="364"/>
      <c r="AH42" s="364"/>
      <c r="AI42" s="364"/>
      <c r="AJ42" s="364"/>
      <c r="AK42" s="364"/>
    </row>
    <row r="43" spans="1:37" x14ac:dyDescent="0.25">
      <c r="A43" s="361"/>
      <c r="B43" s="361"/>
      <c r="C43" s="361"/>
      <c r="D43" s="361"/>
      <c r="E43" s="361"/>
      <c r="F43" s="361"/>
      <c r="G43" s="361"/>
      <c r="H43" s="361"/>
      <c r="I43" s="361"/>
      <c r="J43" s="361"/>
      <c r="K43" s="361"/>
      <c r="L43" s="361"/>
      <c r="M43" s="361"/>
      <c r="N43" s="361"/>
      <c r="O43" s="361"/>
      <c r="P43" s="361"/>
      <c r="Q43" s="361"/>
      <c r="R43" s="361"/>
      <c r="S43" s="361"/>
      <c r="T43" s="361"/>
      <c r="U43" s="362"/>
      <c r="V43" s="362"/>
      <c r="W43" s="362"/>
      <c r="X43" s="362"/>
      <c r="Y43" s="362"/>
      <c r="Z43" s="362"/>
      <c r="AA43" s="362"/>
      <c r="AB43" s="362"/>
      <c r="AC43" s="362"/>
      <c r="AD43" s="362"/>
      <c r="AE43" s="364"/>
      <c r="AF43" s="364"/>
      <c r="AG43" s="364"/>
      <c r="AH43" s="364"/>
      <c r="AI43" s="364"/>
      <c r="AJ43" s="364"/>
      <c r="AK43" s="364"/>
    </row>
    <row r="44" spans="1:37" x14ac:dyDescent="0.25">
      <c r="A44" s="361"/>
      <c r="B44" s="361"/>
      <c r="C44" s="361"/>
      <c r="D44" s="361"/>
      <c r="E44" s="361"/>
      <c r="F44" s="361"/>
      <c r="G44" s="361"/>
      <c r="H44" s="361"/>
      <c r="I44" s="361"/>
      <c r="J44" s="361"/>
      <c r="K44" s="361"/>
      <c r="L44" s="361"/>
      <c r="M44" s="361"/>
      <c r="N44" s="361"/>
      <c r="O44" s="361"/>
      <c r="P44" s="361"/>
      <c r="Q44" s="361"/>
      <c r="R44" s="361"/>
      <c r="S44" s="361"/>
      <c r="T44" s="361"/>
      <c r="U44" s="362"/>
      <c r="V44" s="362"/>
      <c r="W44" s="362"/>
      <c r="X44" s="362"/>
      <c r="Y44" s="362"/>
      <c r="Z44" s="362"/>
      <c r="AA44" s="362"/>
      <c r="AB44" s="362"/>
      <c r="AC44" s="362"/>
      <c r="AD44" s="362"/>
      <c r="AE44" s="364"/>
      <c r="AF44" s="364"/>
      <c r="AG44" s="364"/>
      <c r="AH44" s="364"/>
      <c r="AI44" s="364"/>
      <c r="AJ44" s="364"/>
      <c r="AK44" s="364"/>
    </row>
    <row r="45" spans="1:37" x14ac:dyDescent="0.25">
      <c r="A45" s="361"/>
      <c r="B45" s="361"/>
      <c r="C45" s="361"/>
      <c r="D45" s="361"/>
      <c r="E45" s="361"/>
      <c r="F45" s="361"/>
      <c r="G45" s="361"/>
      <c r="H45" s="361"/>
      <c r="I45" s="361"/>
      <c r="J45" s="361"/>
      <c r="K45" s="361"/>
      <c r="L45" s="361"/>
      <c r="M45" s="361"/>
      <c r="N45" s="361"/>
      <c r="O45" s="361"/>
      <c r="P45" s="361"/>
      <c r="Q45" s="361"/>
      <c r="R45" s="361"/>
      <c r="S45" s="361"/>
      <c r="T45" s="361"/>
      <c r="U45" s="362"/>
      <c r="V45" s="362"/>
      <c r="W45" s="362"/>
      <c r="X45" s="362"/>
      <c r="Y45" s="362"/>
      <c r="Z45" s="362"/>
      <c r="AA45" s="362"/>
      <c r="AB45" s="362"/>
      <c r="AC45" s="362"/>
      <c r="AD45" s="362"/>
      <c r="AE45" s="364"/>
      <c r="AF45" s="364"/>
      <c r="AG45" s="364"/>
      <c r="AH45" s="364"/>
      <c r="AI45" s="364"/>
      <c r="AJ45" s="364"/>
      <c r="AK45" s="364"/>
    </row>
    <row r="46" spans="1:37" x14ac:dyDescent="0.25">
      <c r="A46" s="361"/>
      <c r="B46" s="361"/>
      <c r="C46" s="361"/>
      <c r="D46" s="361"/>
      <c r="E46" s="361"/>
      <c r="F46" s="361"/>
      <c r="G46" s="361"/>
      <c r="H46" s="361"/>
      <c r="I46" s="361"/>
      <c r="J46" s="361"/>
      <c r="K46" s="361"/>
      <c r="L46" s="361"/>
      <c r="M46" s="361"/>
      <c r="N46" s="361"/>
      <c r="O46" s="361"/>
      <c r="P46" s="361"/>
      <c r="Q46" s="361"/>
      <c r="R46" s="361"/>
      <c r="S46" s="361"/>
      <c r="T46" s="361"/>
      <c r="U46" s="362"/>
      <c r="V46" s="362"/>
      <c r="W46" s="362"/>
      <c r="X46" s="362"/>
      <c r="Y46" s="362"/>
      <c r="Z46" s="362"/>
      <c r="AA46" s="362"/>
      <c r="AB46" s="362"/>
      <c r="AC46" s="362"/>
      <c r="AD46" s="362"/>
      <c r="AE46" s="364"/>
      <c r="AF46" s="364"/>
      <c r="AG46" s="364"/>
      <c r="AH46" s="364"/>
      <c r="AI46" s="364"/>
      <c r="AJ46" s="364"/>
      <c r="AK46" s="364"/>
    </row>
    <row r="47" spans="1:37" x14ac:dyDescent="0.25">
      <c r="A47" s="361"/>
      <c r="B47" s="361"/>
      <c r="C47" s="361"/>
      <c r="D47" s="361"/>
      <c r="E47" s="361"/>
      <c r="F47" s="361"/>
      <c r="G47" s="361"/>
      <c r="H47" s="361"/>
      <c r="I47" s="361"/>
      <c r="J47" s="361"/>
      <c r="K47" s="361"/>
      <c r="L47" s="361"/>
      <c r="M47" s="361"/>
      <c r="N47" s="361"/>
      <c r="O47" s="361"/>
      <c r="P47" s="361"/>
      <c r="Q47" s="361"/>
      <c r="R47" s="361"/>
      <c r="S47" s="361"/>
      <c r="T47" s="361"/>
      <c r="U47" s="362"/>
      <c r="V47" s="362"/>
      <c r="W47" s="362"/>
      <c r="X47" s="362"/>
      <c r="Y47" s="362"/>
      <c r="Z47" s="362"/>
      <c r="AA47" s="362"/>
      <c r="AB47" s="362"/>
      <c r="AC47" s="362"/>
      <c r="AD47" s="362"/>
      <c r="AE47" s="364"/>
      <c r="AF47" s="364"/>
      <c r="AG47" s="364"/>
      <c r="AH47" s="364"/>
      <c r="AI47" s="364"/>
      <c r="AJ47" s="364"/>
      <c r="AK47" s="364"/>
    </row>
    <row r="48" spans="1:37" x14ac:dyDescent="0.25">
      <c r="A48" s="361"/>
      <c r="B48" s="361"/>
      <c r="C48" s="361"/>
      <c r="D48" s="361"/>
      <c r="E48" s="361"/>
      <c r="F48" s="361"/>
      <c r="G48" s="361"/>
      <c r="H48" s="361"/>
      <c r="I48" s="361"/>
      <c r="J48" s="361"/>
      <c r="K48" s="361"/>
      <c r="L48" s="361"/>
      <c r="M48" s="361"/>
      <c r="N48" s="361"/>
      <c r="O48" s="361"/>
      <c r="P48" s="361"/>
      <c r="Q48" s="361"/>
      <c r="R48" s="361"/>
      <c r="S48" s="361"/>
      <c r="T48" s="361"/>
      <c r="U48" s="362"/>
      <c r="V48" s="362"/>
      <c r="W48" s="362"/>
      <c r="X48" s="362"/>
      <c r="Y48" s="362"/>
      <c r="Z48" s="362"/>
      <c r="AA48" s="362"/>
      <c r="AB48" s="362"/>
      <c r="AC48" s="362"/>
      <c r="AD48" s="362"/>
      <c r="AE48" s="364"/>
      <c r="AF48" s="364"/>
      <c r="AG48" s="364"/>
      <c r="AH48" s="364"/>
      <c r="AI48" s="364"/>
      <c r="AJ48" s="364"/>
      <c r="AK48" s="364"/>
    </row>
    <row r="49" spans="1:37" x14ac:dyDescent="0.25">
      <c r="A49" s="361"/>
      <c r="B49" s="361"/>
      <c r="C49" s="361"/>
      <c r="D49" s="361"/>
      <c r="E49" s="361"/>
      <c r="F49" s="361"/>
      <c r="G49" s="361"/>
      <c r="H49" s="361"/>
      <c r="I49" s="361"/>
      <c r="J49" s="361"/>
      <c r="K49" s="361"/>
      <c r="L49" s="361"/>
      <c r="M49" s="361"/>
      <c r="N49" s="361"/>
      <c r="O49" s="361"/>
      <c r="P49" s="361"/>
      <c r="Q49" s="361"/>
      <c r="R49" s="361"/>
      <c r="S49" s="361"/>
      <c r="T49" s="361"/>
      <c r="U49" s="362"/>
      <c r="V49" s="362"/>
      <c r="W49" s="362"/>
      <c r="X49" s="362"/>
      <c r="Y49" s="362"/>
      <c r="Z49" s="362"/>
      <c r="AA49" s="362"/>
      <c r="AB49" s="362"/>
      <c r="AC49" s="362"/>
      <c r="AD49" s="362"/>
      <c r="AE49" s="364"/>
      <c r="AF49" s="364"/>
      <c r="AG49" s="364"/>
      <c r="AH49" s="364"/>
      <c r="AI49" s="364"/>
      <c r="AJ49" s="364"/>
      <c r="AK49" s="364"/>
    </row>
    <row r="50" spans="1:37" x14ac:dyDescent="0.25">
      <c r="A50" s="361"/>
      <c r="B50" s="361"/>
      <c r="C50" s="361"/>
      <c r="D50" s="361"/>
      <c r="E50" s="361"/>
      <c r="F50" s="361"/>
      <c r="G50" s="361"/>
      <c r="H50" s="361"/>
      <c r="I50" s="361"/>
      <c r="J50" s="361"/>
      <c r="K50" s="361"/>
      <c r="L50" s="361"/>
      <c r="M50" s="361"/>
      <c r="N50" s="361"/>
      <c r="O50" s="361"/>
      <c r="P50" s="361"/>
      <c r="Q50" s="361"/>
      <c r="R50" s="361"/>
      <c r="S50" s="361"/>
      <c r="T50" s="361"/>
      <c r="U50" s="362"/>
      <c r="V50" s="362"/>
      <c r="W50" s="362"/>
      <c r="X50" s="362"/>
      <c r="Y50" s="362"/>
      <c r="Z50" s="362"/>
      <c r="AA50" s="362"/>
      <c r="AB50" s="362"/>
      <c r="AC50" s="362"/>
      <c r="AD50" s="362"/>
      <c r="AE50" s="364"/>
      <c r="AF50" s="364"/>
      <c r="AG50" s="364"/>
      <c r="AH50" s="364"/>
      <c r="AI50" s="364"/>
      <c r="AJ50" s="364"/>
      <c r="AK50" s="364"/>
    </row>
    <row r="51" spans="1:37" x14ac:dyDescent="0.25">
      <c r="A51" s="361"/>
      <c r="B51" s="361"/>
      <c r="C51" s="361"/>
      <c r="D51" s="361"/>
      <c r="E51" s="361"/>
      <c r="F51" s="361"/>
      <c r="G51" s="361"/>
      <c r="H51" s="361"/>
      <c r="I51" s="361"/>
      <c r="J51" s="361"/>
      <c r="K51" s="361"/>
      <c r="L51" s="361"/>
      <c r="M51" s="361"/>
      <c r="N51" s="361"/>
      <c r="O51" s="361"/>
      <c r="P51" s="361"/>
      <c r="Q51" s="361"/>
      <c r="R51" s="361"/>
      <c r="S51" s="361"/>
      <c r="T51" s="361"/>
      <c r="U51" s="362"/>
      <c r="V51" s="362"/>
      <c r="W51" s="362"/>
      <c r="X51" s="362"/>
      <c r="Y51" s="362"/>
      <c r="Z51" s="362"/>
      <c r="AA51" s="362"/>
      <c r="AB51" s="362"/>
      <c r="AC51" s="362"/>
      <c r="AD51" s="362"/>
      <c r="AE51" s="364"/>
      <c r="AF51" s="364"/>
      <c r="AG51" s="364"/>
      <c r="AH51" s="364"/>
      <c r="AI51" s="364"/>
      <c r="AJ51" s="364"/>
      <c r="AK51" s="364"/>
    </row>
    <row r="52" spans="1:37" x14ac:dyDescent="0.25">
      <c r="A52" s="361"/>
      <c r="B52" s="361"/>
      <c r="C52" s="361"/>
      <c r="D52" s="361"/>
      <c r="E52" s="361"/>
      <c r="F52" s="361"/>
      <c r="G52" s="361"/>
      <c r="H52" s="361"/>
      <c r="I52" s="361"/>
      <c r="J52" s="361"/>
      <c r="K52" s="361"/>
      <c r="L52" s="361"/>
      <c r="M52" s="361"/>
      <c r="N52" s="361"/>
      <c r="O52" s="361"/>
      <c r="P52" s="361"/>
      <c r="Q52" s="361"/>
      <c r="R52" s="361"/>
      <c r="S52" s="361"/>
      <c r="T52" s="361"/>
      <c r="U52" s="362"/>
      <c r="V52" s="362"/>
      <c r="W52" s="362"/>
      <c r="X52" s="362"/>
      <c r="Y52" s="362"/>
      <c r="Z52" s="362"/>
      <c r="AA52" s="362"/>
      <c r="AB52" s="362"/>
      <c r="AC52" s="362"/>
      <c r="AD52" s="362"/>
      <c r="AE52" s="364"/>
      <c r="AF52" s="364"/>
      <c r="AG52" s="364"/>
      <c r="AH52" s="364"/>
      <c r="AI52" s="364"/>
      <c r="AJ52" s="364"/>
      <c r="AK52" s="364"/>
    </row>
    <row r="53" spans="1:37" x14ac:dyDescent="0.25">
      <c r="A53" s="361"/>
      <c r="B53" s="361"/>
      <c r="C53" s="361"/>
      <c r="D53" s="361"/>
      <c r="E53" s="361"/>
      <c r="F53" s="361"/>
      <c r="G53" s="361"/>
      <c r="H53" s="361"/>
      <c r="I53" s="361"/>
      <c r="J53" s="361"/>
      <c r="K53" s="361"/>
      <c r="L53" s="361"/>
      <c r="M53" s="361"/>
      <c r="N53" s="361"/>
      <c r="O53" s="361"/>
      <c r="P53" s="361"/>
      <c r="Q53" s="361"/>
      <c r="R53" s="361"/>
      <c r="S53" s="361"/>
      <c r="T53" s="361"/>
      <c r="U53" s="362"/>
      <c r="V53" s="362"/>
      <c r="W53" s="362"/>
      <c r="X53" s="362"/>
      <c r="Y53" s="362"/>
      <c r="Z53" s="362"/>
      <c r="AA53" s="362"/>
      <c r="AB53" s="362"/>
      <c r="AC53" s="362"/>
      <c r="AD53" s="362"/>
      <c r="AE53" s="364"/>
      <c r="AF53" s="364"/>
      <c r="AG53" s="364"/>
      <c r="AH53" s="364"/>
      <c r="AI53" s="364"/>
      <c r="AJ53" s="364"/>
      <c r="AK53" s="364"/>
    </row>
    <row r="54" spans="1:37" x14ac:dyDescent="0.25">
      <c r="A54" s="361"/>
      <c r="B54" s="361"/>
      <c r="C54" s="361"/>
      <c r="D54" s="361"/>
      <c r="E54" s="361"/>
      <c r="F54" s="361"/>
      <c r="G54" s="361"/>
      <c r="H54" s="361"/>
      <c r="I54" s="361"/>
      <c r="J54" s="361"/>
      <c r="K54" s="361"/>
      <c r="L54" s="361"/>
      <c r="M54" s="361"/>
      <c r="N54" s="361"/>
      <c r="O54" s="361"/>
      <c r="P54" s="361"/>
      <c r="Q54" s="361"/>
      <c r="R54" s="361"/>
      <c r="S54" s="361"/>
      <c r="T54" s="361"/>
      <c r="U54" s="362"/>
      <c r="V54" s="362"/>
      <c r="W54" s="362"/>
      <c r="X54" s="362"/>
      <c r="Y54" s="362"/>
      <c r="Z54" s="362"/>
      <c r="AA54" s="362"/>
      <c r="AB54" s="362"/>
      <c r="AC54" s="362"/>
      <c r="AD54" s="362"/>
      <c r="AE54" s="364"/>
      <c r="AF54" s="364"/>
      <c r="AG54" s="364"/>
      <c r="AH54" s="364"/>
      <c r="AI54" s="364"/>
      <c r="AJ54" s="364"/>
      <c r="AK54" s="364"/>
    </row>
    <row r="55" spans="1:37" x14ac:dyDescent="0.25">
      <c r="A55" s="361"/>
      <c r="B55" s="361"/>
      <c r="C55" s="361"/>
      <c r="D55" s="361"/>
      <c r="E55" s="361"/>
      <c r="F55" s="361"/>
      <c r="G55" s="361"/>
      <c r="H55" s="361"/>
      <c r="I55" s="361"/>
      <c r="J55" s="361"/>
      <c r="K55" s="361"/>
      <c r="L55" s="361"/>
      <c r="M55" s="361"/>
      <c r="N55" s="361"/>
      <c r="O55" s="361"/>
      <c r="P55" s="361"/>
      <c r="Q55" s="361"/>
      <c r="R55" s="361"/>
      <c r="S55" s="361"/>
      <c r="T55" s="361"/>
      <c r="U55" s="362"/>
      <c r="V55" s="362"/>
      <c r="W55" s="362"/>
      <c r="X55" s="362"/>
      <c r="Y55" s="362"/>
      <c r="Z55" s="362"/>
      <c r="AA55" s="362"/>
      <c r="AB55" s="362"/>
      <c r="AC55" s="362"/>
      <c r="AD55" s="362"/>
      <c r="AE55" s="364"/>
      <c r="AF55" s="364"/>
      <c r="AG55" s="364"/>
      <c r="AH55" s="364"/>
      <c r="AI55" s="364"/>
      <c r="AJ55" s="364"/>
      <c r="AK55" s="364"/>
    </row>
    <row r="56" spans="1:37" x14ac:dyDescent="0.25">
      <c r="A56" s="361"/>
      <c r="B56" s="361"/>
      <c r="C56" s="361"/>
      <c r="D56" s="361"/>
      <c r="E56" s="361"/>
      <c r="F56" s="361"/>
      <c r="G56" s="361"/>
      <c r="H56" s="361"/>
      <c r="I56" s="361"/>
      <c r="J56" s="361"/>
      <c r="K56" s="361"/>
      <c r="L56" s="361"/>
      <c r="M56" s="361"/>
      <c r="N56" s="361"/>
      <c r="O56" s="361"/>
      <c r="P56" s="361"/>
      <c r="Q56" s="361"/>
      <c r="R56" s="361"/>
      <c r="S56" s="361"/>
      <c r="T56" s="361"/>
      <c r="U56" s="362"/>
      <c r="V56" s="362"/>
      <c r="W56" s="362"/>
      <c r="X56" s="362"/>
      <c r="Y56" s="362"/>
      <c r="Z56" s="362"/>
      <c r="AA56" s="362"/>
      <c r="AB56" s="362"/>
      <c r="AC56" s="362"/>
      <c r="AD56" s="362"/>
      <c r="AE56" s="364"/>
      <c r="AF56" s="364"/>
      <c r="AG56" s="364"/>
      <c r="AH56" s="364"/>
      <c r="AI56" s="364"/>
      <c r="AJ56" s="364"/>
      <c r="AK56" s="364"/>
    </row>
    <row r="57" spans="1:37" x14ac:dyDescent="0.25">
      <c r="A57" s="363"/>
      <c r="B57" s="363"/>
      <c r="C57" s="363"/>
      <c r="D57" s="363"/>
      <c r="E57" s="363"/>
      <c r="F57" s="363"/>
      <c r="G57" s="363"/>
      <c r="H57" s="363"/>
      <c r="I57" s="363"/>
      <c r="J57" s="363"/>
      <c r="K57" s="363"/>
      <c r="L57" s="363"/>
      <c r="M57" s="363"/>
      <c r="N57" s="363"/>
      <c r="O57" s="363"/>
      <c r="P57" s="363"/>
      <c r="Q57" s="361"/>
      <c r="R57" s="361"/>
      <c r="S57" s="361"/>
      <c r="T57" s="361"/>
      <c r="U57" s="362"/>
      <c r="V57" s="362"/>
      <c r="W57" s="362"/>
      <c r="X57" s="362"/>
      <c r="Y57" s="362"/>
      <c r="Z57" s="362"/>
      <c r="AA57" s="362"/>
      <c r="AB57" s="362"/>
      <c r="AC57" s="362"/>
      <c r="AD57" s="362"/>
      <c r="AE57" s="364"/>
      <c r="AF57" s="364"/>
      <c r="AG57" s="364"/>
      <c r="AH57" s="364"/>
      <c r="AI57" s="364"/>
      <c r="AJ57" s="364"/>
      <c r="AK57" s="364"/>
    </row>
    <row r="58" spans="1:37" x14ac:dyDescent="0.25">
      <c r="A58" s="364"/>
      <c r="B58" s="364"/>
      <c r="C58" s="364"/>
      <c r="D58" s="364"/>
      <c r="E58" s="364"/>
      <c r="F58" s="364"/>
      <c r="G58" s="364"/>
      <c r="H58" s="364"/>
      <c r="I58" s="364"/>
      <c r="J58" s="364"/>
      <c r="K58" s="364"/>
      <c r="L58" s="364"/>
      <c r="M58" s="364"/>
      <c r="N58" s="364"/>
      <c r="O58" s="364"/>
      <c r="P58" s="364"/>
      <c r="U58" s="364"/>
      <c r="V58" s="364"/>
      <c r="W58" s="364"/>
      <c r="X58" s="364"/>
      <c r="Y58" s="364"/>
      <c r="Z58" s="364"/>
      <c r="AA58" s="364"/>
      <c r="AB58" s="364"/>
      <c r="AC58" s="364"/>
      <c r="AD58" s="364"/>
      <c r="AE58" s="364"/>
      <c r="AF58" s="364"/>
      <c r="AG58" s="364"/>
      <c r="AH58" s="364"/>
      <c r="AI58" s="364"/>
      <c r="AJ58" s="364"/>
      <c r="AK58" s="364"/>
    </row>
    <row r="59" spans="1:37" x14ac:dyDescent="0.25">
      <c r="A59" s="364"/>
      <c r="B59" s="364"/>
      <c r="C59" s="364"/>
      <c r="D59" s="364"/>
      <c r="E59" s="364"/>
      <c r="F59" s="364"/>
      <c r="G59" s="364"/>
      <c r="H59" s="364"/>
      <c r="I59" s="364"/>
      <c r="J59" s="364"/>
      <c r="K59" s="364"/>
      <c r="L59" s="364"/>
      <c r="M59" s="364"/>
      <c r="N59" s="364"/>
      <c r="O59" s="364"/>
      <c r="P59" s="364"/>
      <c r="U59" s="364"/>
      <c r="V59" s="364"/>
      <c r="W59" s="364"/>
      <c r="X59" s="364"/>
      <c r="Y59" s="364"/>
      <c r="Z59" s="364"/>
      <c r="AA59" s="364"/>
      <c r="AB59" s="364"/>
      <c r="AC59" s="364"/>
      <c r="AD59" s="364"/>
      <c r="AE59" s="364"/>
      <c r="AF59" s="364"/>
      <c r="AG59" s="364"/>
      <c r="AH59" s="364"/>
      <c r="AI59" s="364"/>
      <c r="AJ59" s="364"/>
      <c r="AK59" s="364"/>
    </row>
    <row r="60" spans="1:37" x14ac:dyDescent="0.25">
      <c r="A60" s="364"/>
      <c r="B60" s="364"/>
      <c r="C60" s="364"/>
      <c r="D60" s="364"/>
      <c r="E60" s="364"/>
      <c r="F60" s="364"/>
      <c r="G60" s="364"/>
      <c r="H60" s="364"/>
      <c r="I60" s="364"/>
      <c r="J60" s="364"/>
      <c r="K60" s="364"/>
      <c r="L60" s="364"/>
      <c r="M60" s="364"/>
      <c r="N60" s="364"/>
      <c r="O60" s="364"/>
      <c r="P60" s="364"/>
      <c r="U60" s="364"/>
      <c r="V60" s="364"/>
      <c r="W60" s="364"/>
      <c r="X60" s="364"/>
      <c r="Y60" s="364"/>
      <c r="Z60" s="364"/>
      <c r="AA60" s="364"/>
      <c r="AB60" s="364"/>
      <c r="AC60" s="364"/>
      <c r="AD60" s="364"/>
      <c r="AE60" s="364"/>
      <c r="AF60" s="364"/>
      <c r="AG60" s="364"/>
      <c r="AH60" s="364"/>
      <c r="AI60" s="364"/>
      <c r="AJ60" s="364"/>
      <c r="AK60" s="364"/>
    </row>
    <row r="61" spans="1:37" x14ac:dyDescent="0.25">
      <c r="A61" s="364"/>
      <c r="B61" s="364"/>
      <c r="C61" s="364"/>
      <c r="D61" s="364"/>
      <c r="E61" s="364"/>
      <c r="F61" s="364"/>
      <c r="G61" s="364"/>
      <c r="H61" s="364"/>
      <c r="I61" s="364"/>
      <c r="J61" s="364"/>
      <c r="K61" s="364"/>
      <c r="L61" s="364"/>
      <c r="M61" s="364"/>
      <c r="N61" s="364"/>
      <c r="O61" s="364"/>
      <c r="P61" s="364"/>
      <c r="U61" s="364"/>
      <c r="V61" s="364"/>
      <c r="W61" s="364"/>
      <c r="X61" s="364"/>
      <c r="Y61" s="364"/>
      <c r="Z61" s="364"/>
      <c r="AA61" s="364"/>
      <c r="AB61" s="364"/>
      <c r="AC61" s="364"/>
      <c r="AD61" s="364"/>
      <c r="AE61" s="364"/>
      <c r="AF61" s="364"/>
      <c r="AG61" s="364"/>
      <c r="AH61" s="364"/>
      <c r="AI61" s="364"/>
      <c r="AJ61" s="364"/>
      <c r="AK61" s="364"/>
    </row>
    <row r="62" spans="1:37" x14ac:dyDescent="0.25">
      <c r="A62" s="364"/>
      <c r="B62" s="364"/>
      <c r="C62" s="364"/>
      <c r="D62" s="364"/>
      <c r="E62" s="364"/>
      <c r="F62" s="364"/>
      <c r="G62" s="364"/>
      <c r="H62" s="364"/>
      <c r="I62" s="364"/>
      <c r="J62" s="364"/>
      <c r="K62" s="364"/>
      <c r="L62" s="364"/>
      <c r="M62" s="364"/>
      <c r="N62" s="364"/>
      <c r="O62" s="364"/>
      <c r="P62" s="364"/>
      <c r="U62" s="364"/>
      <c r="V62" s="364"/>
      <c r="W62" s="364"/>
      <c r="X62" s="364"/>
      <c r="Y62" s="364"/>
      <c r="Z62" s="364"/>
      <c r="AA62" s="364"/>
      <c r="AB62" s="364"/>
      <c r="AC62" s="364"/>
      <c r="AD62" s="364"/>
      <c r="AE62" s="364"/>
      <c r="AF62" s="364"/>
      <c r="AG62" s="364"/>
      <c r="AH62" s="364"/>
      <c r="AI62" s="364"/>
      <c r="AJ62" s="364"/>
      <c r="AK62" s="364"/>
    </row>
    <row r="63" spans="1:37" x14ac:dyDescent="0.25">
      <c r="A63" s="364"/>
      <c r="B63" s="364"/>
      <c r="C63" s="364"/>
      <c r="D63" s="364"/>
      <c r="E63" s="364"/>
      <c r="F63" s="364"/>
      <c r="G63" s="364"/>
      <c r="H63" s="364"/>
      <c r="I63" s="364"/>
      <c r="J63" s="364"/>
      <c r="K63" s="364"/>
      <c r="L63" s="364"/>
      <c r="M63" s="364"/>
      <c r="N63" s="364"/>
      <c r="O63" s="364"/>
      <c r="P63" s="364"/>
      <c r="U63" s="364"/>
      <c r="V63" s="364"/>
      <c r="W63" s="364"/>
      <c r="X63" s="364"/>
      <c r="Y63" s="364"/>
      <c r="Z63" s="364"/>
      <c r="AA63" s="364"/>
      <c r="AB63" s="364"/>
      <c r="AC63" s="364"/>
      <c r="AD63" s="364"/>
      <c r="AE63" s="364"/>
      <c r="AF63" s="364"/>
      <c r="AG63" s="364"/>
      <c r="AH63" s="364"/>
      <c r="AI63" s="364"/>
      <c r="AJ63" s="364"/>
      <c r="AK63" s="364"/>
    </row>
    <row r="64" spans="1:37" x14ac:dyDescent="0.25">
      <c r="A64" s="364"/>
      <c r="B64" s="364"/>
      <c r="C64" s="364"/>
      <c r="D64" s="364"/>
      <c r="E64" s="364"/>
      <c r="F64" s="364"/>
      <c r="G64" s="364"/>
      <c r="H64" s="364"/>
      <c r="I64" s="364"/>
      <c r="J64" s="364"/>
      <c r="K64" s="364"/>
      <c r="L64" s="364"/>
      <c r="M64" s="364"/>
      <c r="N64" s="364"/>
      <c r="O64" s="364"/>
      <c r="P64" s="364"/>
      <c r="U64" s="364"/>
      <c r="V64" s="364"/>
      <c r="W64" s="364"/>
      <c r="X64" s="364"/>
      <c r="Y64" s="364"/>
      <c r="Z64" s="364"/>
      <c r="AA64" s="364"/>
      <c r="AB64" s="364"/>
      <c r="AC64" s="364"/>
      <c r="AD64" s="364"/>
      <c r="AE64" s="364"/>
      <c r="AF64" s="364"/>
      <c r="AG64" s="364"/>
      <c r="AH64" s="364"/>
      <c r="AI64" s="364"/>
      <c r="AJ64" s="364"/>
      <c r="AK64" s="364"/>
    </row>
    <row r="65" spans="1:37" x14ac:dyDescent="0.25">
      <c r="A65" s="364"/>
      <c r="B65" s="364"/>
      <c r="C65" s="364"/>
      <c r="D65" s="364"/>
      <c r="E65" s="364"/>
      <c r="F65" s="364"/>
      <c r="G65" s="364"/>
      <c r="H65" s="364"/>
      <c r="I65" s="364"/>
      <c r="J65" s="364"/>
      <c r="K65" s="364"/>
      <c r="L65" s="364"/>
      <c r="M65" s="364"/>
      <c r="N65" s="364"/>
      <c r="O65" s="364"/>
      <c r="P65" s="364"/>
      <c r="U65" s="364"/>
      <c r="V65" s="364"/>
      <c r="W65" s="364"/>
      <c r="X65" s="364"/>
      <c r="Y65" s="364"/>
      <c r="Z65" s="364"/>
      <c r="AA65" s="364"/>
      <c r="AB65" s="364"/>
      <c r="AC65" s="364"/>
      <c r="AD65" s="364"/>
      <c r="AE65" s="364"/>
      <c r="AF65" s="364"/>
      <c r="AG65" s="364"/>
      <c r="AH65" s="364"/>
      <c r="AI65" s="364"/>
      <c r="AJ65" s="364"/>
      <c r="AK65" s="364"/>
    </row>
    <row r="66" spans="1:37" x14ac:dyDescent="0.25">
      <c r="A66" s="364"/>
      <c r="B66" s="364"/>
      <c r="C66" s="364"/>
      <c r="D66" s="364"/>
      <c r="E66" s="364"/>
      <c r="F66" s="364"/>
      <c r="G66" s="364"/>
      <c r="H66" s="364"/>
      <c r="I66" s="364"/>
      <c r="J66" s="364"/>
      <c r="K66" s="364"/>
      <c r="L66" s="364"/>
      <c r="M66" s="364"/>
      <c r="N66" s="364"/>
      <c r="O66" s="364"/>
      <c r="P66" s="364"/>
      <c r="U66" s="364"/>
      <c r="V66" s="364"/>
      <c r="W66" s="364"/>
      <c r="X66" s="364"/>
      <c r="Y66" s="364"/>
      <c r="Z66" s="364"/>
      <c r="AA66" s="364"/>
      <c r="AB66" s="364"/>
      <c r="AC66" s="364"/>
      <c r="AD66" s="364"/>
      <c r="AE66" s="364"/>
      <c r="AF66" s="364"/>
      <c r="AG66" s="364"/>
      <c r="AH66" s="364"/>
      <c r="AI66" s="364"/>
      <c r="AJ66" s="364"/>
      <c r="AK66" s="364"/>
    </row>
    <row r="67" spans="1:37" x14ac:dyDescent="0.25">
      <c r="A67" s="364"/>
      <c r="B67" s="364"/>
      <c r="C67" s="364"/>
      <c r="D67" s="364"/>
      <c r="E67" s="364"/>
      <c r="F67" s="364"/>
      <c r="G67" s="364"/>
      <c r="H67" s="364"/>
      <c r="I67" s="364"/>
      <c r="J67" s="364"/>
      <c r="K67" s="364"/>
      <c r="L67" s="364"/>
      <c r="M67" s="364"/>
      <c r="N67" s="364"/>
      <c r="O67" s="364"/>
      <c r="P67" s="364"/>
      <c r="U67" s="364"/>
      <c r="V67" s="364"/>
      <c r="W67" s="364"/>
      <c r="X67" s="364"/>
      <c r="Y67" s="364"/>
      <c r="Z67" s="364"/>
      <c r="AA67" s="364"/>
      <c r="AB67" s="364"/>
      <c r="AC67" s="364"/>
      <c r="AD67" s="364"/>
      <c r="AE67" s="364"/>
      <c r="AF67" s="364"/>
      <c r="AG67" s="364"/>
      <c r="AH67" s="364"/>
      <c r="AI67" s="364"/>
      <c r="AJ67" s="364"/>
      <c r="AK67" s="364"/>
    </row>
    <row r="68" spans="1:37" x14ac:dyDescent="0.25">
      <c r="A68" s="364"/>
      <c r="B68" s="364"/>
      <c r="C68" s="364"/>
      <c r="D68" s="364"/>
      <c r="E68" s="364"/>
      <c r="F68" s="364"/>
      <c r="G68" s="364"/>
      <c r="H68" s="364"/>
      <c r="I68" s="364"/>
      <c r="J68" s="364"/>
      <c r="K68" s="364"/>
      <c r="L68" s="364"/>
      <c r="M68" s="364"/>
      <c r="N68" s="364"/>
      <c r="O68" s="364"/>
      <c r="P68" s="364"/>
      <c r="U68" s="364"/>
      <c r="V68" s="364"/>
      <c r="W68" s="364"/>
      <c r="X68" s="364"/>
      <c r="Y68" s="364"/>
      <c r="Z68" s="364"/>
      <c r="AA68" s="364"/>
      <c r="AB68" s="364"/>
      <c r="AC68" s="364"/>
      <c r="AD68" s="364"/>
      <c r="AE68" s="364"/>
      <c r="AF68" s="364"/>
      <c r="AG68" s="364"/>
      <c r="AH68" s="364"/>
      <c r="AI68" s="364"/>
      <c r="AJ68" s="364"/>
      <c r="AK68" s="364"/>
    </row>
    <row r="69" spans="1:37" x14ac:dyDescent="0.25">
      <c r="A69" s="364"/>
      <c r="B69" s="364"/>
      <c r="C69" s="364"/>
      <c r="D69" s="364"/>
      <c r="E69" s="364"/>
      <c r="F69" s="364"/>
      <c r="G69" s="364"/>
      <c r="H69" s="364"/>
      <c r="I69" s="364"/>
      <c r="J69" s="364"/>
      <c r="K69" s="364"/>
      <c r="L69" s="364"/>
      <c r="M69" s="364"/>
      <c r="N69" s="364"/>
      <c r="O69" s="364"/>
      <c r="P69" s="364"/>
      <c r="U69" s="364"/>
      <c r="V69" s="364"/>
      <c r="W69" s="364"/>
      <c r="X69" s="364"/>
      <c r="Y69" s="364"/>
      <c r="Z69" s="364"/>
      <c r="AA69" s="364"/>
      <c r="AB69" s="364"/>
      <c r="AC69" s="364"/>
      <c r="AD69" s="364"/>
      <c r="AE69" s="364"/>
      <c r="AF69" s="364"/>
      <c r="AG69" s="364"/>
      <c r="AH69" s="364"/>
      <c r="AI69" s="364"/>
      <c r="AJ69" s="364"/>
      <c r="AK69" s="364"/>
    </row>
    <row r="70" spans="1:37" x14ac:dyDescent="0.25">
      <c r="A70" s="364"/>
      <c r="B70" s="364"/>
      <c r="C70" s="364"/>
      <c r="D70" s="364"/>
      <c r="E70" s="364"/>
      <c r="F70" s="364"/>
      <c r="G70" s="364"/>
      <c r="H70" s="364"/>
      <c r="I70" s="364"/>
      <c r="J70" s="364"/>
      <c r="K70" s="364"/>
      <c r="L70" s="364"/>
      <c r="M70" s="364"/>
      <c r="N70" s="364"/>
      <c r="O70" s="364"/>
      <c r="P70" s="364"/>
      <c r="U70" s="364"/>
      <c r="V70" s="364"/>
      <c r="W70" s="364"/>
      <c r="X70" s="364"/>
      <c r="Y70" s="364"/>
      <c r="Z70" s="364"/>
      <c r="AA70" s="364"/>
      <c r="AB70" s="364"/>
      <c r="AC70" s="364"/>
      <c r="AD70" s="364"/>
      <c r="AE70" s="364"/>
      <c r="AF70" s="364"/>
      <c r="AG70" s="364"/>
      <c r="AH70" s="364"/>
      <c r="AI70" s="364"/>
      <c r="AJ70" s="364"/>
      <c r="AK70" s="364"/>
    </row>
    <row r="71" spans="1:37" x14ac:dyDescent="0.25">
      <c r="A71" s="364"/>
      <c r="B71" s="364"/>
      <c r="C71" s="364"/>
      <c r="D71" s="364"/>
      <c r="E71" s="364"/>
      <c r="F71" s="364"/>
      <c r="G71" s="364"/>
      <c r="H71" s="364"/>
      <c r="I71" s="364"/>
      <c r="J71" s="364"/>
      <c r="K71" s="364"/>
      <c r="L71" s="364"/>
      <c r="M71" s="364"/>
      <c r="N71" s="364"/>
      <c r="O71" s="364"/>
      <c r="P71" s="364"/>
      <c r="U71" s="364"/>
      <c r="V71" s="364"/>
      <c r="W71" s="364"/>
      <c r="X71" s="364"/>
      <c r="Y71" s="364"/>
      <c r="Z71" s="364"/>
      <c r="AA71" s="364"/>
      <c r="AB71" s="364"/>
      <c r="AC71" s="364"/>
      <c r="AD71" s="364"/>
      <c r="AE71" s="364"/>
      <c r="AF71" s="364"/>
      <c r="AG71" s="364"/>
      <c r="AH71" s="364"/>
      <c r="AI71" s="364"/>
      <c r="AJ71" s="364"/>
      <c r="AK71" s="364"/>
    </row>
    <row r="72" spans="1:37" x14ac:dyDescent="0.25">
      <c r="A72" s="364"/>
      <c r="B72" s="364"/>
      <c r="C72" s="364"/>
      <c r="D72" s="364"/>
      <c r="E72" s="364"/>
      <c r="F72" s="364"/>
      <c r="G72" s="364"/>
      <c r="H72" s="364"/>
      <c r="I72" s="364"/>
      <c r="J72" s="364"/>
      <c r="K72" s="364"/>
      <c r="L72" s="364"/>
      <c r="M72" s="364"/>
      <c r="N72" s="364"/>
      <c r="O72" s="364"/>
      <c r="P72" s="364"/>
      <c r="U72" s="364"/>
      <c r="V72" s="364"/>
      <c r="W72" s="364"/>
      <c r="X72" s="364"/>
      <c r="Y72" s="364"/>
      <c r="Z72" s="364"/>
      <c r="AA72" s="364"/>
      <c r="AB72" s="364"/>
      <c r="AC72" s="364"/>
      <c r="AD72" s="364"/>
      <c r="AE72" s="364"/>
      <c r="AF72" s="364"/>
      <c r="AG72" s="364"/>
      <c r="AH72" s="364"/>
      <c r="AI72" s="364"/>
      <c r="AJ72" s="364"/>
      <c r="AK72" s="364"/>
    </row>
    <row r="73" spans="1:37" x14ac:dyDescent="0.25">
      <c r="A73" s="364"/>
      <c r="B73" s="364"/>
      <c r="C73" s="364"/>
      <c r="D73" s="364"/>
      <c r="E73" s="364"/>
      <c r="F73" s="364"/>
      <c r="G73" s="364"/>
      <c r="H73" s="364"/>
      <c r="I73" s="364"/>
      <c r="J73" s="364"/>
      <c r="K73" s="364"/>
      <c r="L73" s="364"/>
      <c r="M73" s="364"/>
      <c r="N73" s="364"/>
      <c r="O73" s="364"/>
      <c r="P73" s="364"/>
      <c r="U73" s="364"/>
      <c r="V73" s="364"/>
      <c r="W73" s="364"/>
      <c r="X73" s="364"/>
      <c r="Y73" s="364"/>
      <c r="Z73" s="364"/>
      <c r="AA73" s="364"/>
      <c r="AB73" s="364"/>
      <c r="AC73" s="364"/>
      <c r="AD73" s="364"/>
      <c r="AE73" s="364"/>
      <c r="AF73" s="364"/>
      <c r="AG73" s="364"/>
      <c r="AH73" s="364"/>
      <c r="AI73" s="364"/>
      <c r="AJ73" s="364"/>
      <c r="AK73" s="364"/>
    </row>
    <row r="74" spans="1:37" x14ac:dyDescent="0.25">
      <c r="A74" s="364"/>
      <c r="B74" s="364"/>
      <c r="C74" s="364"/>
      <c r="D74" s="364"/>
      <c r="E74" s="364"/>
      <c r="F74" s="364"/>
      <c r="G74" s="364"/>
      <c r="H74" s="364"/>
      <c r="I74" s="364"/>
      <c r="J74" s="364"/>
      <c r="K74" s="364"/>
      <c r="L74" s="364"/>
      <c r="M74" s="364"/>
      <c r="N74" s="364"/>
      <c r="O74" s="364"/>
      <c r="P74" s="364"/>
      <c r="U74" s="364"/>
      <c r="V74" s="364"/>
      <c r="W74" s="364"/>
      <c r="X74" s="364"/>
      <c r="Y74" s="364"/>
      <c r="Z74" s="364"/>
      <c r="AA74" s="364"/>
      <c r="AB74" s="364"/>
      <c r="AC74" s="364"/>
      <c r="AD74" s="364"/>
      <c r="AE74" s="364"/>
      <c r="AF74" s="364"/>
      <c r="AG74" s="364"/>
      <c r="AH74" s="364"/>
      <c r="AI74" s="364"/>
      <c r="AJ74" s="364"/>
      <c r="AK74" s="364"/>
    </row>
    <row r="75" spans="1:37" x14ac:dyDescent="0.25">
      <c r="A75" s="364"/>
      <c r="B75" s="364"/>
      <c r="C75" s="364"/>
      <c r="D75" s="364"/>
      <c r="E75" s="364"/>
      <c r="F75" s="364"/>
      <c r="G75" s="364"/>
      <c r="H75" s="364"/>
      <c r="I75" s="364"/>
      <c r="J75" s="364"/>
      <c r="K75" s="364"/>
      <c r="L75" s="364"/>
      <c r="M75" s="364"/>
      <c r="N75" s="364"/>
      <c r="O75" s="364"/>
      <c r="P75" s="364"/>
      <c r="U75" s="364"/>
      <c r="V75" s="364"/>
      <c r="W75" s="364"/>
      <c r="X75" s="364"/>
      <c r="Y75" s="364"/>
      <c r="Z75" s="364"/>
      <c r="AA75" s="364"/>
      <c r="AB75" s="364"/>
      <c r="AC75" s="364"/>
      <c r="AD75" s="364"/>
      <c r="AE75" s="364"/>
      <c r="AF75" s="364"/>
      <c r="AG75" s="364"/>
      <c r="AH75" s="364"/>
      <c r="AI75" s="364"/>
      <c r="AJ75" s="364"/>
      <c r="AK75" s="364"/>
    </row>
    <row r="76" spans="1:37" x14ac:dyDescent="0.25">
      <c r="A76" s="364"/>
      <c r="B76" s="364"/>
      <c r="C76" s="364"/>
      <c r="D76" s="364"/>
      <c r="E76" s="364"/>
      <c r="F76" s="364"/>
      <c r="G76" s="364"/>
      <c r="H76" s="364"/>
      <c r="I76" s="364"/>
      <c r="J76" s="364"/>
      <c r="K76" s="364"/>
      <c r="L76" s="364"/>
      <c r="M76" s="364"/>
      <c r="N76" s="364"/>
      <c r="O76" s="364"/>
      <c r="P76" s="364"/>
      <c r="U76" s="364"/>
      <c r="V76" s="364"/>
      <c r="W76" s="364"/>
      <c r="X76" s="364"/>
      <c r="Y76" s="364"/>
      <c r="Z76" s="364"/>
      <c r="AA76" s="364"/>
      <c r="AB76" s="364"/>
      <c r="AC76" s="364"/>
      <c r="AD76" s="364"/>
      <c r="AE76" s="364"/>
      <c r="AF76" s="364"/>
      <c r="AG76" s="364"/>
      <c r="AH76" s="364"/>
      <c r="AI76" s="364"/>
      <c r="AJ76" s="364"/>
      <c r="AK76" s="364"/>
    </row>
    <row r="77" spans="1:37" x14ac:dyDescent="0.25">
      <c r="A77" s="364"/>
      <c r="B77" s="364"/>
      <c r="C77" s="364"/>
      <c r="D77" s="364"/>
      <c r="E77" s="364"/>
      <c r="F77" s="364"/>
      <c r="G77" s="364"/>
      <c r="H77" s="364"/>
      <c r="I77" s="364"/>
      <c r="J77" s="364"/>
      <c r="K77" s="364"/>
      <c r="L77" s="364"/>
      <c r="M77" s="364"/>
      <c r="N77" s="364"/>
      <c r="O77" s="364"/>
      <c r="P77" s="364"/>
      <c r="V77" s="505" t="s">
        <v>381</v>
      </c>
      <c r="W77" s="364"/>
      <c r="X77" s="364"/>
      <c r="Y77" s="364"/>
      <c r="Z77" s="364"/>
      <c r="AA77" s="364"/>
      <c r="AB77" s="364"/>
      <c r="AC77" s="364"/>
      <c r="AD77" s="364"/>
      <c r="AE77" s="364"/>
      <c r="AF77" s="364"/>
      <c r="AG77" s="364"/>
      <c r="AH77" s="364"/>
      <c r="AI77" s="364"/>
      <c r="AJ77" s="364"/>
      <c r="AK77" s="364"/>
    </row>
    <row r="78" spans="1:37" x14ac:dyDescent="0.25">
      <c r="A78" s="364"/>
      <c r="B78" s="364"/>
      <c r="C78" s="364"/>
      <c r="D78" s="364"/>
      <c r="E78" s="364"/>
      <c r="F78" s="364"/>
      <c r="G78" s="364"/>
      <c r="H78" s="364"/>
      <c r="I78" s="364"/>
      <c r="J78" s="364"/>
      <c r="K78" s="364"/>
      <c r="L78" s="364"/>
      <c r="M78" s="364"/>
      <c r="N78" s="364"/>
      <c r="O78" s="364"/>
      <c r="P78" s="364"/>
      <c r="U78" s="364"/>
      <c r="V78" s="505"/>
      <c r="W78" s="364"/>
      <c r="X78" s="364"/>
      <c r="Y78" s="364"/>
      <c r="Z78" s="364"/>
      <c r="AA78" s="364"/>
      <c r="AB78" s="364"/>
      <c r="AC78" s="364"/>
      <c r="AD78" s="364"/>
      <c r="AE78" s="364"/>
      <c r="AF78" s="364"/>
      <c r="AG78" s="364"/>
      <c r="AH78" s="364"/>
      <c r="AI78" s="364"/>
      <c r="AJ78" s="364"/>
      <c r="AK78" s="364"/>
    </row>
    <row r="79" spans="1:37" x14ac:dyDescent="0.25">
      <c r="A79" s="364"/>
      <c r="B79" s="364"/>
      <c r="C79" s="364"/>
      <c r="D79" s="364"/>
      <c r="E79" s="364"/>
      <c r="F79" s="364"/>
      <c r="G79" s="364"/>
      <c r="H79" s="364"/>
      <c r="I79" s="364"/>
      <c r="J79" s="364"/>
      <c r="K79" s="364"/>
      <c r="L79" s="364"/>
      <c r="M79" s="364"/>
      <c r="N79" s="364"/>
      <c r="O79" s="364"/>
      <c r="P79" s="364"/>
      <c r="U79" s="364"/>
      <c r="V79" s="505"/>
      <c r="W79" s="364"/>
      <c r="X79" s="364"/>
      <c r="Y79" s="364"/>
      <c r="Z79" s="364"/>
      <c r="AA79" s="364"/>
      <c r="AB79" s="364"/>
      <c r="AC79" s="364"/>
      <c r="AD79" s="364"/>
      <c r="AE79" s="364"/>
      <c r="AF79" s="364"/>
      <c r="AG79" s="364"/>
      <c r="AH79" s="364"/>
      <c r="AI79" s="364"/>
      <c r="AJ79" s="364"/>
      <c r="AK79" s="364"/>
    </row>
    <row r="80" spans="1:37" x14ac:dyDescent="0.25">
      <c r="A80" s="364"/>
      <c r="B80" s="364"/>
      <c r="C80" s="364"/>
      <c r="D80" s="364"/>
      <c r="E80" s="364"/>
      <c r="F80" s="364"/>
      <c r="G80" s="364"/>
      <c r="H80" s="364"/>
      <c r="I80" s="364"/>
      <c r="J80" s="364"/>
      <c r="K80" s="364"/>
      <c r="L80" s="364"/>
      <c r="M80" s="364"/>
      <c r="N80" s="364"/>
      <c r="O80" s="364"/>
      <c r="P80" s="364"/>
      <c r="U80" s="433" t="s">
        <v>380</v>
      </c>
      <c r="V80" s="505"/>
      <c r="W80" s="364"/>
      <c r="X80" s="364"/>
      <c r="Y80" s="364"/>
      <c r="Z80" s="364"/>
      <c r="AA80" s="364"/>
      <c r="AB80" s="364"/>
      <c r="AC80" s="364"/>
      <c r="AD80" s="364"/>
      <c r="AE80" s="364"/>
      <c r="AF80" s="364"/>
      <c r="AG80" s="364"/>
      <c r="AH80" s="364"/>
      <c r="AI80" s="364"/>
      <c r="AJ80" s="364"/>
      <c r="AK80" s="364"/>
    </row>
    <row r="81" spans="1:37" x14ac:dyDescent="0.25">
      <c r="A81" s="364"/>
      <c r="B81" s="364"/>
      <c r="C81" s="364"/>
      <c r="D81" s="364"/>
      <c r="E81" s="364"/>
      <c r="F81" s="364"/>
      <c r="G81" s="364"/>
      <c r="H81" s="364"/>
      <c r="I81" s="364"/>
      <c r="J81" s="364"/>
      <c r="K81" s="364"/>
      <c r="L81" s="364"/>
      <c r="M81" s="364"/>
      <c r="N81" s="364"/>
      <c r="O81" s="364"/>
      <c r="P81" s="364"/>
      <c r="U81" s="364"/>
      <c r="V81" s="505"/>
      <c r="W81" s="364"/>
      <c r="X81" s="364"/>
      <c r="Y81" s="364"/>
      <c r="Z81" s="364"/>
      <c r="AA81" s="364"/>
      <c r="AB81" s="364"/>
      <c r="AC81" s="364"/>
      <c r="AD81" s="364"/>
      <c r="AE81" s="364"/>
      <c r="AF81" s="364"/>
      <c r="AG81" s="364"/>
      <c r="AH81" s="364"/>
      <c r="AI81" s="364"/>
      <c r="AJ81" s="364"/>
      <c r="AK81" s="364"/>
    </row>
    <row r="82" spans="1:37" x14ac:dyDescent="0.25">
      <c r="A82" s="364"/>
      <c r="B82" s="364"/>
      <c r="C82" s="364"/>
      <c r="D82" s="364"/>
      <c r="E82" s="364"/>
      <c r="F82" s="364"/>
      <c r="G82" s="364"/>
      <c r="H82" s="364"/>
      <c r="I82" s="364"/>
      <c r="J82" s="364"/>
      <c r="K82" s="364"/>
      <c r="L82" s="364"/>
      <c r="M82" s="364"/>
      <c r="N82" s="364"/>
      <c r="O82" s="364"/>
      <c r="P82" s="364"/>
      <c r="U82" s="364"/>
      <c r="V82" s="505"/>
      <c r="W82" s="364"/>
      <c r="X82" s="364"/>
      <c r="Y82" s="364"/>
      <c r="Z82" s="364"/>
      <c r="AA82" s="364"/>
      <c r="AB82" s="364"/>
      <c r="AC82" s="364"/>
      <c r="AD82" s="364"/>
      <c r="AE82" s="364"/>
      <c r="AF82" s="364"/>
      <c r="AG82" s="364"/>
      <c r="AH82" s="364"/>
      <c r="AI82" s="364"/>
      <c r="AJ82" s="364"/>
      <c r="AK82" s="364"/>
    </row>
    <row r="83" spans="1:37" x14ac:dyDescent="0.25">
      <c r="A83" s="364"/>
      <c r="B83" s="364"/>
      <c r="C83" s="364"/>
      <c r="D83" s="364"/>
      <c r="E83" s="364"/>
      <c r="F83" s="364"/>
      <c r="G83" s="364"/>
      <c r="H83" s="364"/>
      <c r="I83" s="364"/>
      <c r="J83" s="364"/>
      <c r="K83" s="364"/>
      <c r="L83" s="364"/>
      <c r="M83" s="364"/>
      <c r="N83" s="364"/>
      <c r="O83" s="364"/>
      <c r="P83" s="364"/>
      <c r="U83" s="364"/>
      <c r="V83" s="505"/>
      <c r="W83" s="364"/>
      <c r="X83" s="364"/>
      <c r="Y83" s="364"/>
      <c r="Z83" s="364"/>
      <c r="AA83" s="364"/>
      <c r="AB83" s="364"/>
      <c r="AC83" s="364"/>
      <c r="AD83" s="364"/>
      <c r="AE83" s="364"/>
      <c r="AF83" s="364"/>
      <c r="AG83" s="364"/>
      <c r="AH83" s="364"/>
      <c r="AI83" s="364"/>
      <c r="AJ83" s="364"/>
      <c r="AK83" s="364"/>
    </row>
    <row r="84" spans="1:37" x14ac:dyDescent="0.25">
      <c r="A84" s="364"/>
      <c r="B84" s="364"/>
      <c r="C84" s="364"/>
      <c r="D84" s="364"/>
      <c r="E84" s="364"/>
      <c r="F84" s="364"/>
      <c r="G84" s="364"/>
      <c r="H84" s="364"/>
      <c r="I84" s="364"/>
      <c r="J84" s="364"/>
      <c r="K84" s="364"/>
      <c r="L84" s="364"/>
      <c r="M84" s="364"/>
      <c r="N84" s="364"/>
      <c r="O84" s="364"/>
      <c r="P84" s="364"/>
      <c r="U84" s="364"/>
      <c r="V84" s="505"/>
      <c r="W84" s="364"/>
      <c r="X84" s="364"/>
      <c r="Y84" s="364"/>
      <c r="Z84" s="364"/>
      <c r="AA84" s="364"/>
      <c r="AB84" s="364"/>
      <c r="AC84" s="364"/>
      <c r="AD84" s="364"/>
      <c r="AE84" s="364"/>
      <c r="AF84" s="364"/>
      <c r="AG84" s="364"/>
      <c r="AH84" s="364"/>
      <c r="AI84" s="364"/>
      <c r="AJ84" s="364"/>
      <c r="AK84" s="364"/>
    </row>
    <row r="85" spans="1:37" x14ac:dyDescent="0.25">
      <c r="A85" s="364"/>
      <c r="B85" s="364"/>
      <c r="C85" s="364"/>
      <c r="D85" s="364"/>
      <c r="E85" s="364"/>
      <c r="F85" s="364"/>
      <c r="G85" s="364"/>
      <c r="H85" s="364"/>
      <c r="I85" s="364"/>
      <c r="J85" s="364"/>
      <c r="K85" s="364"/>
      <c r="L85" s="364"/>
      <c r="M85" s="364"/>
      <c r="N85" s="364"/>
      <c r="O85" s="364"/>
      <c r="P85" s="364"/>
      <c r="U85" s="364"/>
      <c r="V85" s="364"/>
      <c r="W85" s="364"/>
      <c r="X85" s="364"/>
      <c r="Y85" s="364"/>
      <c r="Z85" s="364"/>
      <c r="AA85" s="364"/>
      <c r="AB85" s="364"/>
      <c r="AC85" s="364"/>
      <c r="AD85" s="364"/>
      <c r="AE85" s="364"/>
      <c r="AF85" s="364"/>
      <c r="AG85" s="364"/>
      <c r="AH85" s="364"/>
      <c r="AI85" s="364"/>
      <c r="AJ85" s="364"/>
      <c r="AK85" s="364"/>
    </row>
    <row r="86" spans="1:37" x14ac:dyDescent="0.25">
      <c r="A86" s="364"/>
      <c r="B86" s="364"/>
      <c r="C86" s="364"/>
      <c r="D86" s="364"/>
      <c r="E86" s="364"/>
      <c r="F86" s="364"/>
      <c r="G86" s="364"/>
      <c r="H86" s="364"/>
      <c r="I86" s="364"/>
      <c r="J86" s="364"/>
      <c r="K86" s="364"/>
      <c r="L86" s="364"/>
      <c r="M86" s="364"/>
      <c r="N86" s="364"/>
      <c r="O86" s="364"/>
      <c r="P86" s="364"/>
      <c r="U86" s="364"/>
      <c r="V86" s="364"/>
      <c r="W86" s="364"/>
      <c r="X86" s="364"/>
      <c r="Y86" s="364"/>
      <c r="Z86" s="364"/>
      <c r="AA86" s="364"/>
      <c r="AB86" s="364"/>
      <c r="AC86" s="364"/>
      <c r="AD86" s="364"/>
      <c r="AE86" s="364"/>
      <c r="AF86" s="364"/>
      <c r="AG86" s="364"/>
      <c r="AH86" s="364"/>
      <c r="AI86" s="364"/>
      <c r="AJ86" s="364"/>
      <c r="AK86" s="364"/>
    </row>
    <row r="87" spans="1:37" x14ac:dyDescent="0.25">
      <c r="A87" s="364"/>
      <c r="B87" s="364"/>
      <c r="C87" s="364"/>
      <c r="D87" s="364"/>
      <c r="E87" s="364"/>
      <c r="F87" s="364"/>
      <c r="G87" s="364"/>
      <c r="H87" s="364"/>
      <c r="I87" s="364"/>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row>
    <row r="88" spans="1:37" x14ac:dyDescent="0.25">
      <c r="A88" s="364"/>
      <c r="B88" s="364"/>
      <c r="C88" s="364"/>
      <c r="D88" s="364"/>
      <c r="E88" s="364"/>
      <c r="F88" s="364"/>
      <c r="G88" s="364"/>
      <c r="H88" s="364"/>
      <c r="I88" s="364"/>
      <c r="J88" s="364"/>
      <c r="K88" s="364"/>
      <c r="L88" s="364"/>
      <c r="M88" s="364"/>
      <c r="N88" s="364"/>
      <c r="O88" s="364"/>
      <c r="P88" s="364"/>
      <c r="Q88" s="364"/>
      <c r="R88" s="364"/>
      <c r="S88" s="364"/>
      <c r="T88" s="364"/>
      <c r="U88" s="364"/>
      <c r="V88" s="364"/>
      <c r="W88" s="364"/>
      <c r="X88" s="364"/>
      <c r="Y88" s="364"/>
      <c r="Z88" s="364"/>
      <c r="AA88" s="364"/>
      <c r="AB88" s="364"/>
      <c r="AC88" s="364"/>
      <c r="AD88" s="364"/>
      <c r="AE88" s="364"/>
      <c r="AF88" s="364"/>
      <c r="AG88" s="364"/>
      <c r="AH88" s="364"/>
      <c r="AI88" s="364"/>
      <c r="AJ88" s="364"/>
      <c r="AK88" s="364"/>
    </row>
  </sheetData>
  <mergeCells count="1">
    <mergeCell ref="V77:V84"/>
  </mergeCells>
  <pageMargins left="0.7" right="0.7" top="0.75" bottom="0.75" header="0.3" footer="0.3"/>
  <pageSetup paperSize="9" orientation="portrait" r:id="rId1"/>
  <headerFooter>
    <oddFooter>&amp;C&amp;1#&amp;"Calibri"&amp;12&amp;K008000Internal Use</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A827-370D-4276-AE5A-BAA5E705322E}">
  <sheetPr>
    <tabColor theme="8" tint="0.59999389629810485"/>
  </sheetPr>
  <dimension ref="A1:X63"/>
  <sheetViews>
    <sheetView zoomScale="80" zoomScaleNormal="80" workbookViewId="0">
      <selection activeCell="V90" sqref="V90"/>
    </sheetView>
  </sheetViews>
  <sheetFormatPr defaultRowHeight="15" x14ac:dyDescent="0.25"/>
  <cols>
    <col min="3" max="3" width="18.85546875" customWidth="1"/>
    <col min="5" max="6" width="35.5703125" customWidth="1"/>
    <col min="7" max="7" width="19.7109375" customWidth="1"/>
    <col min="8" max="8" width="34.140625" customWidth="1"/>
    <col min="9" max="9" width="18.140625" customWidth="1"/>
    <col min="10" max="10" width="29.7109375" customWidth="1"/>
    <col min="12" max="12" width="11.7109375" customWidth="1"/>
    <col min="14" max="14" width="17" customWidth="1"/>
    <col min="15" max="15" width="18.7109375" customWidth="1"/>
    <col min="17" max="17" width="17.14062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ht="15.75" thickBot="1" x14ac:dyDescent="0.3">
      <c r="A2" s="1"/>
      <c r="B2" s="1"/>
      <c r="C2" s="1"/>
      <c r="D2" s="1"/>
      <c r="E2" s="1"/>
      <c r="F2" s="1"/>
      <c r="G2" s="1"/>
      <c r="H2" s="1"/>
      <c r="I2" s="1"/>
      <c r="J2" s="1"/>
      <c r="K2" s="1"/>
      <c r="L2" s="1"/>
      <c r="M2" s="1"/>
      <c r="N2" s="1"/>
      <c r="O2" s="1"/>
      <c r="P2" s="1"/>
      <c r="Q2" s="1"/>
      <c r="R2" s="1"/>
      <c r="S2" s="1"/>
      <c r="T2" s="1"/>
      <c r="U2" s="1"/>
      <c r="V2" s="1"/>
      <c r="W2" s="1"/>
      <c r="X2" s="1"/>
    </row>
    <row r="3" spans="1:24" ht="32.25" customHeight="1" thickBot="1" x14ac:dyDescent="0.3">
      <c r="A3" s="1"/>
      <c r="B3" s="1"/>
      <c r="C3" s="295" t="s">
        <v>337</v>
      </c>
      <c r="D3" s="296" t="s">
        <v>338</v>
      </c>
      <c r="E3" s="297" t="s">
        <v>339</v>
      </c>
      <c r="F3" s="298" t="s">
        <v>340</v>
      </c>
      <c r="G3" s="299" t="s">
        <v>341</v>
      </c>
      <c r="H3" s="300" t="s">
        <v>342</v>
      </c>
      <c r="I3" s="301" t="s">
        <v>343</v>
      </c>
      <c r="J3" s="301" t="s">
        <v>344</v>
      </c>
      <c r="K3" s="1"/>
      <c r="L3" s="1"/>
      <c r="M3" s="1"/>
      <c r="N3" s="1"/>
      <c r="O3" s="1"/>
      <c r="P3" s="1"/>
      <c r="Q3" s="1"/>
      <c r="R3" s="1"/>
      <c r="S3" s="1"/>
      <c r="T3" s="1"/>
      <c r="U3" s="1"/>
      <c r="V3" s="1"/>
      <c r="W3" s="1"/>
      <c r="X3" s="1"/>
    </row>
    <row r="4" spans="1:24" x14ac:dyDescent="0.25">
      <c r="A4" s="1"/>
      <c r="B4" s="1"/>
      <c r="C4" s="302" t="s">
        <v>345</v>
      </c>
      <c r="D4" s="302">
        <v>46</v>
      </c>
      <c r="E4" s="302">
        <v>2.4700000000000002</v>
      </c>
      <c r="F4" s="302">
        <v>3.18</v>
      </c>
      <c r="G4" s="303">
        <f>1-Table1[[#This Row],[Heat Pump (Heat kW output) Required 2010 insulation ]]/Table1[[#This Row],[Heat Pump (Heat kW output) Required 1990 insulation ]]</f>
        <v>0.22327044025157228</v>
      </c>
      <c r="H4" s="304">
        <f>Table1[[#This Row],[Heat Pump (Heat kW output) Required 1990 insulation ]]*Table1[[#Totals],[Elec kW Draw Continous Worst Case ]]</f>
        <v>1.7525333333333335</v>
      </c>
      <c r="I4" s="305">
        <f>Table1[[#This Row],[Heat Pump (Heat kW output) Required 1990 insulation ]]*Table1[[#Totals],[Elec kW Draw Power Cut Worst Case]]</f>
        <v>2.8125333333333336</v>
      </c>
      <c r="J4" s="306">
        <f>Table1[[#This Row],[Elec kW Draw Continous Worst Case ]]*1.4</f>
        <v>2.4535466666666665</v>
      </c>
      <c r="K4" s="1"/>
      <c r="L4" s="1"/>
      <c r="M4" s="1"/>
      <c r="N4" s="1"/>
      <c r="O4" s="1"/>
      <c r="P4" s="1"/>
      <c r="Q4" s="1"/>
      <c r="R4" s="1"/>
      <c r="S4" s="1"/>
      <c r="T4" s="1"/>
      <c r="U4" s="1"/>
      <c r="V4" s="1"/>
      <c r="W4" s="1"/>
      <c r="X4" s="1"/>
    </row>
    <row r="5" spans="1:24" x14ac:dyDescent="0.25">
      <c r="A5" s="1"/>
      <c r="B5" s="1"/>
      <c r="C5" s="302" t="s">
        <v>346</v>
      </c>
      <c r="D5" s="302">
        <v>68</v>
      </c>
      <c r="E5" s="302">
        <v>3.74</v>
      </c>
      <c r="F5" s="302">
        <v>4.38</v>
      </c>
      <c r="G5" s="303">
        <f>1-Table1[[#This Row],[Heat Pump (Heat kW output) Required 2010 insulation ]]/Table1[[#This Row],[Heat Pump (Heat kW output) Required 1990 insulation ]]</f>
        <v>0.1461187214611871</v>
      </c>
      <c r="H5" s="307">
        <f>Table1[[#This Row],[Heat Pump (Heat kW output) Required 1990 insulation ]]*Table1[[#Totals],[Elec kW Draw Continous Worst Case ]]</f>
        <v>2.4138666666666664</v>
      </c>
      <c r="I5" s="308">
        <f>Table1[[#This Row],[Heat Pump (Heat kW output) Required 1990 insulation ]]*Table1[[#Totals],[Elec kW Draw Power Cut Worst Case]]</f>
        <v>3.8738666666666668</v>
      </c>
      <c r="J5" s="309">
        <f>Table1[[#This Row],[Elec kW Draw Continous Worst Case ]]*1.4</f>
        <v>3.3794133333333329</v>
      </c>
      <c r="K5" s="1"/>
      <c r="L5" s="1"/>
      <c r="M5" s="1"/>
      <c r="N5" s="1"/>
      <c r="O5" s="1"/>
      <c r="P5" s="1"/>
      <c r="Q5" s="1"/>
      <c r="R5" s="1"/>
      <c r="S5" s="1"/>
      <c r="T5" s="1"/>
      <c r="U5" s="1"/>
      <c r="V5" s="1"/>
      <c r="W5" s="1"/>
      <c r="X5" s="1"/>
    </row>
    <row r="6" spans="1:24" x14ac:dyDescent="0.25">
      <c r="A6" s="1"/>
      <c r="B6" s="1"/>
      <c r="C6" s="302" t="s">
        <v>347</v>
      </c>
      <c r="D6" s="302">
        <v>100</v>
      </c>
      <c r="E6" s="302">
        <v>6.19</v>
      </c>
      <c r="F6" s="302">
        <v>7.21</v>
      </c>
      <c r="G6" s="303">
        <f>1-Table1[[#This Row],[Heat Pump (Heat kW output) Required 2010 insulation ]]/Table1[[#This Row],[Heat Pump (Heat kW output) Required 1990 insulation ]]</f>
        <v>0.1414701803051317</v>
      </c>
      <c r="H6" s="310">
        <f>Table1[[#This Row],[Heat Pump (Heat kW output) Required 1990 insulation ]]*Table1[[#Totals],[Elec kW Draw Continous Worst Case ]]</f>
        <v>3.9735111111111112</v>
      </c>
      <c r="I6" s="308">
        <f>Table1[[#This Row],[Heat Pump (Heat kW output) Required 1990 insulation ]]*Table1[[#Totals],[Elec kW Draw Power Cut Worst Case]]</f>
        <v>6.376844444444445</v>
      </c>
      <c r="J6" s="311">
        <f>Table1[[#This Row],[Elec kW Draw Continous Worst Case ]]*1.4</f>
        <v>5.5629155555555556</v>
      </c>
      <c r="K6" s="1"/>
      <c r="L6" s="1"/>
      <c r="M6" s="1"/>
      <c r="N6" s="1"/>
      <c r="O6" s="1"/>
      <c r="P6" s="1"/>
      <c r="Q6" s="1"/>
      <c r="R6" s="1"/>
      <c r="S6" s="1"/>
      <c r="T6" s="1"/>
      <c r="U6" s="1"/>
      <c r="V6" s="1"/>
      <c r="W6" s="1"/>
      <c r="X6" s="1"/>
    </row>
    <row r="7" spans="1:24" x14ac:dyDescent="0.25">
      <c r="A7" s="1"/>
      <c r="B7" s="1"/>
      <c r="C7" s="302" t="s">
        <v>348</v>
      </c>
      <c r="D7" s="302">
        <v>106</v>
      </c>
      <c r="E7" s="302">
        <v>6</v>
      </c>
      <c r="F7" s="302">
        <v>6.78</v>
      </c>
      <c r="G7" s="303">
        <f>1-Table1[[#This Row],[Heat Pump (Heat kW output) Required 2010 insulation ]]/Table1[[#This Row],[Heat Pump (Heat kW output) Required 1990 insulation ]]</f>
        <v>0.11504424778761069</v>
      </c>
      <c r="H7" s="310">
        <f>Table1[[#This Row],[Heat Pump (Heat kW output) Required 1990 insulation ]]*Table1[[#Totals],[Elec kW Draw Continous Worst Case ]]</f>
        <v>3.7365333333333335</v>
      </c>
      <c r="I7" s="308">
        <f>Table1[[#This Row],[Heat Pump (Heat kW output) Required 1990 insulation ]]*Table1[[#Totals],[Elec kW Draw Power Cut Worst Case]]</f>
        <v>5.9965333333333337</v>
      </c>
      <c r="J7" s="311">
        <f>Table1[[#This Row],[Elec kW Draw Continous Worst Case ]]*1.4</f>
        <v>5.2311466666666666</v>
      </c>
      <c r="K7" s="1"/>
      <c r="L7" s="3"/>
      <c r="M7" s="1"/>
      <c r="N7" s="1"/>
      <c r="O7" s="1"/>
      <c r="P7" s="1"/>
      <c r="Q7" s="1"/>
      <c r="R7" s="1"/>
      <c r="S7" s="1"/>
      <c r="T7" s="1"/>
      <c r="U7" s="1"/>
      <c r="V7" s="1"/>
      <c r="W7" s="1"/>
      <c r="X7" s="1"/>
    </row>
    <row r="8" spans="1:24" x14ac:dyDescent="0.25">
      <c r="A8" s="1"/>
      <c r="B8" s="1"/>
      <c r="C8" s="302" t="s">
        <v>349</v>
      </c>
      <c r="D8" s="302">
        <v>150</v>
      </c>
      <c r="E8" s="302">
        <v>7.52</v>
      </c>
      <c r="F8" s="302">
        <v>8.49</v>
      </c>
      <c r="G8" s="303">
        <f>1-Table1[[#This Row],[Heat Pump (Heat kW output) Required 2010 insulation ]]/Table1[[#This Row],[Heat Pump (Heat kW output) Required 1990 insulation ]]</f>
        <v>0.11425206124852771</v>
      </c>
      <c r="H8" s="312">
        <f>Table1[[#This Row],[Heat Pump (Heat kW output) Required 1990 insulation ]]*Table1[[#Totals],[Elec kW Draw Continous Worst Case ]]</f>
        <v>4.6789333333333332</v>
      </c>
      <c r="I8" s="308">
        <f>Table1[[#This Row],[Heat Pump (Heat kW output) Required 1990 insulation ]]*Table1[[#Totals],[Elec kW Draw Power Cut Worst Case]]</f>
        <v>7.5089333333333341</v>
      </c>
      <c r="J8" s="313">
        <f>Table1[[#This Row],[Elec kW Draw Continous Worst Case ]]*1.4</f>
        <v>6.5505066666666663</v>
      </c>
      <c r="K8" s="1"/>
      <c r="L8" s="1"/>
      <c r="M8" s="1"/>
      <c r="N8" s="1"/>
      <c r="O8" s="1"/>
      <c r="P8" s="1"/>
      <c r="Q8" s="1"/>
      <c r="R8" s="1"/>
      <c r="S8" s="1"/>
      <c r="T8" s="1"/>
      <c r="U8" s="1"/>
      <c r="V8" s="1"/>
      <c r="W8" s="1"/>
      <c r="X8" s="1"/>
    </row>
    <row r="9" spans="1:24" x14ac:dyDescent="0.25">
      <c r="A9" s="1"/>
      <c r="B9" s="1"/>
      <c r="C9" s="314" t="s">
        <v>350</v>
      </c>
      <c r="D9" s="314">
        <v>310</v>
      </c>
      <c r="E9" s="314">
        <v>15</v>
      </c>
      <c r="F9" s="314">
        <v>17</v>
      </c>
      <c r="G9" s="303">
        <f>1-Table1[[#This Row],[Heat Pump (Heat kW output) Required 2010 insulation ]]/Table1[[#This Row],[Heat Pump (Heat kW output) Required 1990 insulation ]]</f>
        <v>0.11764705882352944</v>
      </c>
      <c r="H9" s="315">
        <f>Table1[[#This Row],[Heat Pump (Heat kW output) Required 1990 insulation ]]*Table1[[#Totals],[Elec kW Draw Continous Worst Case ]]</f>
        <v>9.3688888888888897</v>
      </c>
      <c r="I9" s="316">
        <f>Table1[[#This Row],[Heat Pump (Heat kW output) Required 1990 insulation ]]*Table1[[#Totals],[Elec kW Draw Power Cut Worst Case]]</f>
        <v>15.035555555555556</v>
      </c>
      <c r="J9" s="317">
        <f>Table1[[#This Row],[Elec kW Draw Continous Worst Case ]]*1.4</f>
        <v>13.116444444444445</v>
      </c>
      <c r="K9" s="1"/>
      <c r="L9" s="1"/>
      <c r="M9" s="1"/>
      <c r="N9" s="1"/>
      <c r="O9" s="1"/>
      <c r="P9" s="1"/>
      <c r="Q9" s="1"/>
      <c r="R9" s="1"/>
      <c r="S9" s="1"/>
      <c r="T9" s="1"/>
      <c r="U9" s="1"/>
      <c r="V9" s="1"/>
      <c r="W9" s="1"/>
      <c r="X9" s="1"/>
    </row>
    <row r="10" spans="1:24" x14ac:dyDescent="0.25">
      <c r="A10" s="1"/>
      <c r="B10" s="1"/>
      <c r="C10" s="318"/>
      <c r="D10" s="319"/>
      <c r="E10" s="319"/>
      <c r="F10" s="318"/>
      <c r="G10" s="320" t="s">
        <v>351</v>
      </c>
      <c r="H10" s="321">
        <f>4.96/9</f>
        <v>0.55111111111111111</v>
      </c>
      <c r="I10" s="322">
        <f>7.96/9</f>
        <v>0.88444444444444448</v>
      </c>
      <c r="J10" s="323">
        <f>(4.96*1.4/9)</f>
        <v>0.77155555555555555</v>
      </c>
      <c r="K10" s="1"/>
      <c r="L10" s="1"/>
      <c r="M10" s="1"/>
      <c r="N10" s="1"/>
      <c r="O10" s="1"/>
      <c r="P10" s="1"/>
      <c r="Q10" s="1"/>
      <c r="R10" s="1"/>
      <c r="S10" s="1"/>
      <c r="T10" s="1"/>
      <c r="U10" s="1"/>
      <c r="V10" s="1"/>
      <c r="W10" s="1"/>
      <c r="X10" s="1"/>
    </row>
    <row r="11" spans="1:24" ht="15.75" thickBot="1" x14ac:dyDescent="0.3">
      <c r="A11" s="1"/>
      <c r="B11" s="1"/>
      <c r="C11" s="324"/>
      <c r="D11" s="324"/>
      <c r="E11" s="324"/>
      <c r="F11" s="324"/>
      <c r="G11" s="325" t="s">
        <v>352</v>
      </c>
      <c r="H11" s="326" t="s">
        <v>353</v>
      </c>
      <c r="I11" s="327">
        <v>0</v>
      </c>
      <c r="J11" s="328" t="s">
        <v>354</v>
      </c>
      <c r="K11" s="1"/>
      <c r="L11" s="1"/>
      <c r="M11" s="1"/>
      <c r="N11" s="1"/>
      <c r="O11" s="1"/>
      <c r="P11" s="1"/>
      <c r="Q11" s="1"/>
      <c r="R11" s="1"/>
      <c r="S11" s="1"/>
      <c r="T11" s="1"/>
      <c r="U11" s="1"/>
      <c r="V11" s="1"/>
      <c r="W11" s="1"/>
      <c r="X11" s="1"/>
    </row>
    <row r="12" spans="1:24" x14ac:dyDescent="0.25">
      <c r="A12" s="1"/>
      <c r="B12" s="1"/>
      <c r="C12" s="1"/>
      <c r="D12" s="1"/>
      <c r="E12" s="1"/>
      <c r="F12" s="329"/>
      <c r="G12" s="1"/>
      <c r="H12" s="1"/>
      <c r="I12" s="1"/>
      <c r="J12" s="1"/>
      <c r="K12" s="1"/>
      <c r="L12" s="1"/>
      <c r="M12" s="1"/>
      <c r="N12" s="1"/>
      <c r="O12" s="1"/>
      <c r="P12" s="1"/>
      <c r="Q12" s="1"/>
      <c r="R12" s="1"/>
      <c r="S12" s="1"/>
      <c r="T12" s="1"/>
      <c r="U12" s="1"/>
      <c r="V12" s="1"/>
      <c r="W12" s="1"/>
      <c r="X12" s="1"/>
    </row>
    <row r="13" spans="1:24" ht="15.75" thickBot="1" x14ac:dyDescent="0.3">
      <c r="A13" s="1"/>
      <c r="B13" s="1"/>
      <c r="C13" s="1"/>
      <c r="D13" s="1"/>
      <c r="E13" s="1"/>
      <c r="F13" s="1"/>
      <c r="G13" s="1"/>
      <c r="H13" s="1"/>
      <c r="I13" s="1"/>
      <c r="J13" s="1"/>
      <c r="K13" s="1"/>
      <c r="L13" s="1"/>
      <c r="M13" s="1"/>
      <c r="N13" s="1"/>
      <c r="O13" s="1"/>
      <c r="P13" s="1"/>
      <c r="Q13" s="1"/>
      <c r="R13" s="1"/>
      <c r="S13" s="1"/>
      <c r="T13" s="1"/>
      <c r="U13" s="1"/>
      <c r="V13" s="1"/>
      <c r="W13" s="1"/>
      <c r="X13" s="1"/>
    </row>
    <row r="14" spans="1:24" ht="15.75" thickBot="1" x14ac:dyDescent="0.3">
      <c r="A14" s="1"/>
      <c r="B14" s="1"/>
      <c r="C14" s="1"/>
      <c r="D14" s="1"/>
      <c r="E14" s="1"/>
      <c r="F14" s="1"/>
      <c r="G14" s="1"/>
      <c r="H14" s="1"/>
      <c r="I14" s="1"/>
      <c r="J14" s="1"/>
      <c r="K14" s="1"/>
      <c r="L14" s="506" t="s">
        <v>355</v>
      </c>
      <c r="M14" s="507"/>
      <c r="N14" s="507"/>
      <c r="O14" s="508"/>
      <c r="P14" s="509" t="s">
        <v>356</v>
      </c>
      <c r="Q14" s="510"/>
      <c r="R14" s="1"/>
      <c r="S14" s="1"/>
      <c r="T14" s="1"/>
      <c r="U14" s="1"/>
      <c r="V14" s="1"/>
      <c r="W14" s="1"/>
      <c r="X14" s="1"/>
    </row>
    <row r="15" spans="1:24" ht="15.75" thickBot="1" x14ac:dyDescent="0.3">
      <c r="A15" s="1"/>
      <c r="B15" s="1"/>
      <c r="C15" s="1"/>
      <c r="D15" s="1"/>
      <c r="E15" s="1"/>
      <c r="F15" s="1"/>
      <c r="G15" s="1"/>
      <c r="H15" s="1"/>
      <c r="I15" s="1"/>
      <c r="J15" s="1"/>
      <c r="K15" s="1"/>
      <c r="L15" s="330" t="s">
        <v>357</v>
      </c>
      <c r="M15" s="331" t="s">
        <v>358</v>
      </c>
      <c r="N15" s="332" t="s">
        <v>359</v>
      </c>
      <c r="O15" s="333" t="s">
        <v>360</v>
      </c>
      <c r="P15" s="334" t="s">
        <v>361</v>
      </c>
      <c r="Q15" s="335" t="s">
        <v>362</v>
      </c>
      <c r="R15" s="1"/>
      <c r="S15" s="1"/>
      <c r="T15" s="1"/>
      <c r="U15" s="1"/>
      <c r="V15" s="1"/>
      <c r="W15" s="1"/>
      <c r="X15" s="1"/>
    </row>
    <row r="16" spans="1:24" ht="14.25" customHeight="1" x14ac:dyDescent="0.25">
      <c r="A16" s="1"/>
      <c r="B16" s="1"/>
      <c r="C16" s="1"/>
      <c r="D16" s="1"/>
      <c r="E16" s="1"/>
      <c r="F16" s="1"/>
      <c r="G16" s="1"/>
      <c r="H16" s="1"/>
      <c r="I16" s="1"/>
      <c r="J16" s="1"/>
      <c r="K16" s="1"/>
      <c r="L16" s="336"/>
      <c r="M16" s="337">
        <v>-10</v>
      </c>
      <c r="N16" s="338">
        <v>0</v>
      </c>
      <c r="O16" s="339">
        <v>0</v>
      </c>
      <c r="P16" s="340">
        <f>(O16+N16)/2</f>
        <v>0</v>
      </c>
      <c r="Q16" s="71">
        <v>0</v>
      </c>
      <c r="R16" s="1"/>
      <c r="S16" s="1"/>
      <c r="T16" s="1"/>
      <c r="U16" s="1"/>
      <c r="V16" s="1"/>
      <c r="W16" s="1"/>
      <c r="X16" s="1"/>
    </row>
    <row r="17" spans="1:24" x14ac:dyDescent="0.25">
      <c r="A17" s="1"/>
      <c r="B17" s="1"/>
      <c r="C17" s="1"/>
      <c r="D17" s="1"/>
      <c r="E17" s="1"/>
      <c r="F17" s="1"/>
      <c r="G17" s="1"/>
      <c r="H17" s="1"/>
      <c r="I17" s="1"/>
      <c r="J17" s="1"/>
      <c r="K17" s="1"/>
      <c r="L17" s="336" t="s">
        <v>363</v>
      </c>
      <c r="M17" s="337">
        <v>0</v>
      </c>
      <c r="N17" s="341">
        <f>3.74*9</f>
        <v>33.660000000000004</v>
      </c>
      <c r="O17" s="339">
        <f>3.74*9</f>
        <v>33.660000000000004</v>
      </c>
      <c r="P17" s="342">
        <f t="shared" ref="P17:P23" si="0">(O17+N17)/2</f>
        <v>33.660000000000004</v>
      </c>
      <c r="Q17" s="343">
        <v>0</v>
      </c>
      <c r="R17" s="1"/>
      <c r="S17" s="1"/>
      <c r="T17" s="1"/>
      <c r="U17" s="1"/>
      <c r="V17" s="1"/>
      <c r="W17" s="1"/>
      <c r="X17" s="1"/>
    </row>
    <row r="18" spans="1:24" x14ac:dyDescent="0.25">
      <c r="A18" s="1"/>
      <c r="B18" s="1"/>
      <c r="C18" s="1"/>
      <c r="D18" s="1"/>
      <c r="E18" s="1"/>
      <c r="F18" s="1"/>
      <c r="G18" s="1"/>
      <c r="H18" s="1"/>
      <c r="I18" s="1"/>
      <c r="J18" s="1"/>
      <c r="K18" s="1"/>
      <c r="L18" s="336"/>
      <c r="M18" s="337">
        <v>10</v>
      </c>
      <c r="N18" s="341">
        <f>3.74*9</f>
        <v>33.660000000000004</v>
      </c>
      <c r="O18" s="339">
        <f>3.74*9</f>
        <v>33.660000000000004</v>
      </c>
      <c r="P18" s="342">
        <f t="shared" si="0"/>
        <v>33.660000000000004</v>
      </c>
      <c r="Q18" s="343">
        <v>0</v>
      </c>
      <c r="R18" s="1"/>
      <c r="S18" s="1"/>
      <c r="T18" s="1"/>
      <c r="U18" s="1"/>
      <c r="V18" s="1"/>
      <c r="W18" s="1"/>
      <c r="X18" s="1"/>
    </row>
    <row r="19" spans="1:24" x14ac:dyDescent="0.25">
      <c r="A19" s="1"/>
      <c r="B19" s="1"/>
      <c r="C19" s="1"/>
      <c r="D19" s="1"/>
      <c r="E19" s="1"/>
      <c r="F19" s="1"/>
      <c r="G19" s="1"/>
      <c r="H19" s="1"/>
      <c r="I19" s="1"/>
      <c r="J19" s="1"/>
      <c r="K19" s="1">
        <v>10</v>
      </c>
      <c r="L19" s="336" t="s">
        <v>364</v>
      </c>
      <c r="M19" s="337">
        <v>20</v>
      </c>
      <c r="N19" s="341">
        <f>3.74*6+(6*3)</f>
        <v>40.44</v>
      </c>
      <c r="O19" s="339">
        <f>3.74*6+(6*3)</f>
        <v>40.44</v>
      </c>
      <c r="P19" s="342">
        <f t="shared" si="0"/>
        <v>40.44</v>
      </c>
      <c r="Q19" s="343">
        <f t="shared" ref="Q19:Q23" si="1">ABS(1-(P19/33.66))</f>
        <v>0.20142602495543671</v>
      </c>
      <c r="R19" s="1"/>
      <c r="S19" s="1"/>
      <c r="T19" s="1"/>
      <c r="U19" s="1"/>
      <c r="V19" s="1"/>
      <c r="W19" s="1"/>
      <c r="X19" s="1"/>
    </row>
    <row r="20" spans="1:24" x14ac:dyDescent="0.25">
      <c r="A20" s="1"/>
      <c r="B20" s="1"/>
      <c r="C20" s="1"/>
      <c r="D20" s="1"/>
      <c r="E20" s="1"/>
      <c r="F20" s="1"/>
      <c r="G20" s="1"/>
      <c r="H20" s="1"/>
      <c r="I20" s="1"/>
      <c r="J20" s="1"/>
      <c r="K20" s="1"/>
      <c r="L20" s="336"/>
      <c r="M20" s="337">
        <v>30</v>
      </c>
      <c r="N20" s="341">
        <f t="shared" ref="N20:N22" si="2">3.74*9</f>
        <v>33.660000000000004</v>
      </c>
      <c r="O20" s="339">
        <f>3.74*6+(6*3)</f>
        <v>40.44</v>
      </c>
      <c r="P20" s="342">
        <f t="shared" si="0"/>
        <v>37.049999999999997</v>
      </c>
      <c r="Q20" s="343">
        <f t="shared" si="1"/>
        <v>0.10071301247771847</v>
      </c>
      <c r="R20" s="1"/>
      <c r="S20" s="1"/>
      <c r="T20" s="1"/>
      <c r="U20" s="1"/>
      <c r="V20" s="1"/>
      <c r="W20" s="1"/>
      <c r="X20" s="1"/>
    </row>
    <row r="21" spans="1:24" x14ac:dyDescent="0.25">
      <c r="A21" s="1"/>
      <c r="B21" s="1"/>
      <c r="C21" s="1"/>
      <c r="D21" s="1"/>
      <c r="E21" s="1"/>
      <c r="F21" s="1"/>
      <c r="G21" s="1"/>
      <c r="H21" s="1"/>
      <c r="I21" s="1"/>
      <c r="J21" s="1"/>
      <c r="K21" s="1">
        <v>10</v>
      </c>
      <c r="L21" s="336" t="s">
        <v>365</v>
      </c>
      <c r="M21" s="337">
        <v>40</v>
      </c>
      <c r="N21" s="341">
        <f>3.74*6+(6*3)</f>
        <v>40.44</v>
      </c>
      <c r="O21" s="339">
        <f>3.74*3+(6*6)</f>
        <v>47.22</v>
      </c>
      <c r="P21" s="342">
        <f t="shared" si="0"/>
        <v>43.83</v>
      </c>
      <c r="Q21" s="343">
        <f t="shared" si="1"/>
        <v>0.30213903743315518</v>
      </c>
      <c r="R21" s="1"/>
      <c r="S21" s="1"/>
      <c r="T21" s="1"/>
      <c r="U21" s="1"/>
      <c r="V21" s="1"/>
      <c r="W21" s="1"/>
      <c r="X21" s="1"/>
    </row>
    <row r="22" spans="1:24" x14ac:dyDescent="0.25">
      <c r="A22" s="1"/>
      <c r="B22" s="1"/>
      <c r="C22" s="1"/>
      <c r="D22" s="1"/>
      <c r="E22" s="1"/>
      <c r="F22" s="1"/>
      <c r="G22" s="1"/>
      <c r="H22" s="1"/>
      <c r="I22" s="1"/>
      <c r="J22" s="1"/>
      <c r="K22" s="1"/>
      <c r="L22" s="336"/>
      <c r="M22" s="337">
        <v>50</v>
      </c>
      <c r="N22" s="341">
        <f t="shared" si="2"/>
        <v>33.660000000000004</v>
      </c>
      <c r="O22" s="339">
        <f>3.74*3+(6*6)</f>
        <v>47.22</v>
      </c>
      <c r="P22" s="342">
        <f t="shared" si="0"/>
        <v>40.44</v>
      </c>
      <c r="Q22" s="343">
        <f t="shared" si="1"/>
        <v>0.20142602495543671</v>
      </c>
      <c r="R22" s="1"/>
      <c r="S22" s="1"/>
      <c r="T22" s="1"/>
      <c r="U22" s="1"/>
      <c r="V22" s="1"/>
      <c r="W22" s="1"/>
      <c r="X22" s="1"/>
    </row>
    <row r="23" spans="1:24" ht="15.75" thickBot="1" x14ac:dyDescent="0.3">
      <c r="A23" s="1"/>
      <c r="B23" s="1"/>
      <c r="C23" s="1"/>
      <c r="D23" s="1"/>
      <c r="E23" s="1"/>
      <c r="F23" s="1"/>
      <c r="G23" s="1"/>
      <c r="H23" s="1"/>
      <c r="I23" s="1"/>
      <c r="J23" s="1"/>
      <c r="K23" s="1">
        <v>10</v>
      </c>
      <c r="L23" s="344" t="s">
        <v>366</v>
      </c>
      <c r="M23" s="345">
        <v>60</v>
      </c>
      <c r="N23" s="346">
        <f>3.74*6+(6*3)</f>
        <v>40.44</v>
      </c>
      <c r="O23" s="347">
        <f>3.74*0+(6*9)</f>
        <v>54</v>
      </c>
      <c r="P23" s="348">
        <f t="shared" si="0"/>
        <v>47.22</v>
      </c>
      <c r="Q23" s="349">
        <f t="shared" si="1"/>
        <v>0.40285204991087364</v>
      </c>
      <c r="R23" s="1"/>
      <c r="S23" s="1"/>
      <c r="T23" s="1"/>
      <c r="U23" s="1"/>
      <c r="V23" s="1"/>
      <c r="W23" s="1"/>
      <c r="X23" s="1"/>
    </row>
    <row r="24" spans="1:24"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x14ac:dyDescent="0.25">
      <c r="A29" s="1"/>
      <c r="B29" s="1"/>
      <c r="C29" s="1"/>
      <c r="D29" s="1"/>
      <c r="E29" s="1"/>
      <c r="F29" s="1"/>
      <c r="G29" s="1"/>
      <c r="H29" s="1"/>
      <c r="I29" s="1"/>
      <c r="J29" s="1"/>
      <c r="K29" s="1"/>
      <c r="L29" s="1"/>
      <c r="O29" s="1"/>
      <c r="P29" s="1"/>
      <c r="Q29" s="1"/>
      <c r="R29" s="1"/>
      <c r="S29" s="1"/>
      <c r="T29" s="1"/>
      <c r="U29" s="1"/>
      <c r="V29" s="1"/>
      <c r="W29" s="1"/>
      <c r="X29" s="1"/>
    </row>
    <row r="30" spans="1:24" x14ac:dyDescent="0.25">
      <c r="A30" s="1"/>
      <c r="B30" s="1"/>
      <c r="C30" s="1"/>
      <c r="D30" s="1"/>
      <c r="E30" s="1"/>
      <c r="F30" s="1"/>
      <c r="G30" s="1"/>
      <c r="H30" s="1"/>
      <c r="I30" s="1"/>
      <c r="J30" s="1"/>
      <c r="K30" s="1"/>
      <c r="L30" s="1"/>
      <c r="O30" s="1"/>
      <c r="P30" s="1"/>
      <c r="Q30" s="1"/>
      <c r="R30" s="1"/>
      <c r="S30" s="1"/>
      <c r="T30" s="1"/>
      <c r="U30" s="1"/>
      <c r="V30" s="1"/>
      <c r="W30" s="1"/>
      <c r="X30" s="1"/>
    </row>
    <row r="31" spans="1:24" x14ac:dyDescent="0.25">
      <c r="A31" s="1"/>
      <c r="B31" s="1"/>
      <c r="C31" s="1"/>
      <c r="D31" s="1"/>
      <c r="E31" s="1"/>
      <c r="F31" s="1"/>
      <c r="G31" s="1"/>
      <c r="H31" s="1"/>
      <c r="I31" s="1"/>
      <c r="J31" s="1"/>
      <c r="K31" s="1"/>
      <c r="L31" s="1"/>
      <c r="O31" s="1"/>
      <c r="P31" s="1"/>
      <c r="Q31" s="1"/>
      <c r="R31" s="1"/>
      <c r="S31" s="1"/>
      <c r="T31" s="1"/>
      <c r="U31" s="1"/>
      <c r="V31" s="1"/>
      <c r="W31" s="1"/>
      <c r="X31" s="1"/>
    </row>
    <row r="32" spans="1:24" x14ac:dyDescent="0.25">
      <c r="A32" s="1"/>
      <c r="B32" s="1"/>
      <c r="C32" s="1"/>
      <c r="D32" s="1"/>
      <c r="E32" s="1"/>
      <c r="F32" s="1"/>
      <c r="G32" s="1"/>
      <c r="H32" s="1"/>
      <c r="I32" s="1"/>
      <c r="J32" s="1"/>
      <c r="K32" s="1"/>
      <c r="L32" s="1"/>
      <c r="O32" s="1"/>
      <c r="P32" s="1"/>
      <c r="Q32" s="1"/>
      <c r="R32" s="1"/>
      <c r="S32" s="1"/>
      <c r="T32" s="1"/>
      <c r="U32" s="1"/>
      <c r="V32" s="1"/>
      <c r="W32" s="1"/>
      <c r="X32" s="1"/>
    </row>
    <row r="33" spans="1:24" x14ac:dyDescent="0.25">
      <c r="A33" s="1"/>
      <c r="B33" s="1"/>
      <c r="C33" s="1"/>
      <c r="D33" s="1"/>
      <c r="E33" s="1"/>
      <c r="F33" s="1"/>
      <c r="G33" s="1"/>
      <c r="H33" s="1"/>
      <c r="I33" s="1"/>
      <c r="J33" s="1"/>
      <c r="K33" s="1"/>
      <c r="L33" s="1"/>
      <c r="O33" s="1"/>
      <c r="P33" s="1"/>
      <c r="Q33" s="1"/>
      <c r="R33" s="1"/>
      <c r="S33" s="1"/>
      <c r="T33" s="1"/>
      <c r="U33" s="1"/>
      <c r="V33" s="1"/>
      <c r="W33" s="1"/>
      <c r="X33" s="1"/>
    </row>
    <row r="34" spans="1:24" x14ac:dyDescent="0.25">
      <c r="A34" s="1"/>
      <c r="B34" s="1"/>
      <c r="C34" s="1"/>
      <c r="D34" s="1"/>
      <c r="E34" s="1"/>
      <c r="F34" s="1"/>
      <c r="G34" s="1"/>
      <c r="H34" s="1"/>
      <c r="I34" s="1"/>
      <c r="J34" s="1"/>
      <c r="K34" s="1"/>
      <c r="L34" s="1"/>
      <c r="O34" s="1"/>
      <c r="P34" s="1"/>
      <c r="Q34" s="1"/>
      <c r="R34" s="1"/>
      <c r="S34" s="1"/>
      <c r="T34" s="1"/>
      <c r="U34" s="1"/>
      <c r="V34" s="1"/>
      <c r="W34" s="1"/>
      <c r="X34" s="1"/>
    </row>
    <row r="35" spans="1:24"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x14ac:dyDescent="0.25">
      <c r="A43" s="1"/>
      <c r="B43" s="1"/>
      <c r="C43" s="1"/>
      <c r="D43" s="1"/>
      <c r="E43" s="1"/>
      <c r="F43" s="1"/>
      <c r="G43" s="1"/>
      <c r="H43" s="1"/>
      <c r="I43" s="1"/>
      <c r="J43" s="1"/>
      <c r="K43" s="1"/>
      <c r="L43" s="350" t="s">
        <v>367</v>
      </c>
      <c r="M43" s="350" t="s">
        <v>8</v>
      </c>
      <c r="N43" s="1"/>
      <c r="O43" s="1"/>
      <c r="P43" s="1"/>
      <c r="Q43" s="1"/>
      <c r="R43" s="1"/>
      <c r="S43" s="1"/>
      <c r="T43" s="1"/>
      <c r="U43" s="1"/>
      <c r="V43" s="1"/>
      <c r="W43" s="1"/>
      <c r="X43" s="1"/>
    </row>
    <row r="44" spans="1:24" x14ac:dyDescent="0.25">
      <c r="A44" s="1"/>
      <c r="B44" s="1"/>
      <c r="C44" s="1"/>
      <c r="D44" s="1"/>
      <c r="E44" s="1"/>
      <c r="F44" s="1"/>
      <c r="G44" s="1"/>
      <c r="H44" s="1"/>
      <c r="I44" s="1"/>
      <c r="J44" s="1"/>
      <c r="K44" s="1"/>
      <c r="L44" s="350">
        <v>1</v>
      </c>
      <c r="M44" s="350">
        <v>2.8439999999999999</v>
      </c>
      <c r="N44" s="1"/>
      <c r="O44" s="1"/>
      <c r="P44" s="1"/>
      <c r="Q44" s="1"/>
      <c r="R44" s="1"/>
      <c r="S44" s="1"/>
      <c r="T44" s="1"/>
      <c r="U44" s="1"/>
      <c r="V44" s="1"/>
      <c r="W44" s="1"/>
      <c r="X44" s="1"/>
    </row>
    <row r="45" spans="1:24" x14ac:dyDescent="0.25">
      <c r="A45" s="1"/>
      <c r="B45" s="1"/>
      <c r="C45" s="1"/>
      <c r="D45" s="1"/>
      <c r="E45" s="1"/>
      <c r="F45" s="1"/>
      <c r="G45" s="1"/>
      <c r="H45" s="1"/>
      <c r="I45" s="1"/>
      <c r="J45" s="1"/>
      <c r="K45" s="1"/>
      <c r="L45" s="350">
        <v>25</v>
      </c>
      <c r="M45" s="350">
        <v>1.58</v>
      </c>
      <c r="N45" s="1"/>
      <c r="O45" s="1"/>
      <c r="P45" s="1"/>
      <c r="Q45" s="1"/>
      <c r="R45" s="1"/>
      <c r="S45" s="1"/>
      <c r="T45" s="1"/>
      <c r="U45" s="1"/>
      <c r="V45" s="1"/>
      <c r="W45" s="1"/>
      <c r="X45" s="1"/>
    </row>
    <row r="46" spans="1:24" x14ac:dyDescent="0.25">
      <c r="A46" s="1"/>
      <c r="B46" s="1"/>
      <c r="C46" s="1"/>
      <c r="D46" s="1"/>
      <c r="E46" s="1"/>
      <c r="F46" s="1"/>
      <c r="G46" s="1"/>
      <c r="H46" s="1"/>
      <c r="I46" s="1"/>
      <c r="J46" s="1"/>
      <c r="K46" s="1"/>
      <c r="L46" s="350">
        <v>50</v>
      </c>
      <c r="M46" s="350">
        <v>1.389</v>
      </c>
      <c r="N46" s="1"/>
      <c r="O46" s="1"/>
      <c r="P46" s="1"/>
      <c r="Q46" s="1"/>
      <c r="R46" s="1"/>
      <c r="S46" s="1"/>
      <c r="T46" s="1"/>
      <c r="U46" s="1"/>
      <c r="V46" s="1"/>
      <c r="W46" s="1"/>
      <c r="X46" s="1"/>
    </row>
    <row r="47" spans="1:24" x14ac:dyDescent="0.25">
      <c r="A47" s="1"/>
      <c r="B47" s="1"/>
      <c r="C47" s="1"/>
      <c r="D47" s="1"/>
      <c r="E47" s="1"/>
      <c r="F47" s="1"/>
      <c r="G47" s="1"/>
      <c r="H47" s="1"/>
      <c r="I47" s="1"/>
      <c r="J47" s="1"/>
      <c r="K47" s="1"/>
      <c r="L47" s="350">
        <v>75</v>
      </c>
      <c r="M47" s="350">
        <v>1.3</v>
      </c>
      <c r="N47" s="1"/>
      <c r="O47" s="1"/>
      <c r="P47" s="1"/>
      <c r="Q47" s="1"/>
      <c r="R47" s="1"/>
      <c r="S47" s="1"/>
      <c r="T47" s="1"/>
      <c r="U47" s="1"/>
      <c r="V47" s="1"/>
      <c r="W47" s="1"/>
      <c r="X47" s="1"/>
    </row>
    <row r="48" spans="1:24" x14ac:dyDescent="0.25">
      <c r="A48" s="1"/>
      <c r="B48" s="1"/>
      <c r="C48" s="1"/>
      <c r="D48" s="1"/>
      <c r="E48" s="1"/>
      <c r="F48" s="1"/>
      <c r="G48" s="1"/>
      <c r="H48" s="1"/>
      <c r="I48" s="1"/>
      <c r="J48" s="1"/>
      <c r="K48" s="1"/>
      <c r="L48" s="350">
        <v>100</v>
      </c>
      <c r="M48" s="350">
        <v>1.276</v>
      </c>
      <c r="N48" s="1"/>
      <c r="O48" s="1"/>
      <c r="P48" s="1"/>
      <c r="Q48" s="1"/>
      <c r="R48" s="1"/>
      <c r="S48" s="1"/>
      <c r="T48" s="1"/>
      <c r="U48" s="1"/>
      <c r="V48" s="1"/>
      <c r="W48" s="1"/>
      <c r="X48" s="1"/>
    </row>
    <row r="49" spans="1:24"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x14ac:dyDescent="0.25">
      <c r="A63" s="1"/>
      <c r="B63" s="1"/>
      <c r="C63" s="1"/>
      <c r="D63" s="1"/>
      <c r="E63" s="1"/>
      <c r="F63" s="1"/>
      <c r="G63" s="1"/>
      <c r="H63" s="1"/>
      <c r="I63" s="1"/>
      <c r="J63" s="1"/>
      <c r="K63" s="1"/>
      <c r="L63" s="1"/>
      <c r="M63" s="1"/>
      <c r="N63" s="1"/>
      <c r="O63" s="1"/>
      <c r="P63" s="1"/>
      <c r="Q63" s="1"/>
      <c r="R63" s="1"/>
      <c r="S63" s="1"/>
      <c r="T63" s="1"/>
      <c r="U63" s="1"/>
      <c r="V63" s="1"/>
      <c r="W63" s="1"/>
      <c r="X63" s="1"/>
    </row>
  </sheetData>
  <mergeCells count="2">
    <mergeCell ref="L14:O14"/>
    <mergeCell ref="P14:Q14"/>
  </mergeCells>
  <pageMargins left="0.7" right="0.7" top="0.75" bottom="0.75" header="0.3" footer="0.3"/>
  <pageSetup paperSize="9" orientation="portrait" r:id="rId1"/>
  <headerFooter>
    <oddFooter>&amp;C&amp;1#&amp;"Calibri"&amp;12&amp;K008000Internal Use</oddFooter>
  </headerFooter>
  <drawing r:id="rId2"/>
  <legacyDrawing r:id="rId3"/>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877F-8BF5-4A02-B992-E0D02211D3F0}">
  <sheetPr>
    <tabColor rgb="FFCAA55A"/>
  </sheetPr>
  <dimension ref="A1:X63"/>
  <sheetViews>
    <sheetView topLeftCell="F1" zoomScale="90" zoomScaleNormal="90" workbookViewId="0">
      <selection activeCell="V90" sqref="V90"/>
    </sheetView>
  </sheetViews>
  <sheetFormatPr defaultRowHeight="15" x14ac:dyDescent="0.25"/>
  <cols>
    <col min="3" max="3" width="18.85546875" customWidth="1"/>
    <col min="5" max="5" width="22.7109375" customWidth="1"/>
    <col min="6" max="6" width="33.140625" customWidth="1"/>
    <col min="7" max="7" width="22.42578125" customWidth="1"/>
    <col min="8" max="8" width="16.7109375" customWidth="1"/>
    <col min="9" max="9" width="24.42578125" customWidth="1"/>
    <col min="10" max="10" width="29.7109375" customWidth="1"/>
    <col min="12" max="12" width="11.7109375" customWidth="1"/>
    <col min="14" max="14" width="17" customWidth="1"/>
    <col min="15" max="15" width="18.7109375" customWidth="1"/>
    <col min="17" max="17" width="17.14062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ht="15.75" thickBot="1" x14ac:dyDescent="0.3">
      <c r="A2" s="1"/>
      <c r="B2" s="1"/>
      <c r="C2" s="1"/>
      <c r="D2" s="1"/>
      <c r="E2" s="1"/>
      <c r="F2" s="1"/>
      <c r="G2" s="1"/>
      <c r="H2" s="1"/>
      <c r="I2" s="1"/>
      <c r="J2" s="1"/>
      <c r="K2" s="1"/>
      <c r="L2" s="1"/>
      <c r="M2" s="1"/>
      <c r="N2" s="1"/>
      <c r="O2" s="1"/>
      <c r="P2" s="1"/>
      <c r="Q2" s="1"/>
      <c r="R2" s="1"/>
      <c r="S2" s="1"/>
      <c r="T2" s="1"/>
      <c r="U2" s="1"/>
      <c r="V2" s="1"/>
      <c r="W2" s="1"/>
      <c r="X2" s="1"/>
    </row>
    <row r="3" spans="1:24" ht="57.75" customHeight="1" thickBot="1" x14ac:dyDescent="0.3">
      <c r="A3" s="1"/>
      <c r="B3" s="1"/>
      <c r="C3" s="302" t="s">
        <v>337</v>
      </c>
      <c r="D3" s="302" t="s">
        <v>338</v>
      </c>
      <c r="E3" s="351" t="s">
        <v>339</v>
      </c>
      <c r="F3" s="351" t="s">
        <v>340</v>
      </c>
      <c r="G3" s="351" t="s">
        <v>368</v>
      </c>
      <c r="H3" s="299" t="s">
        <v>341</v>
      </c>
      <c r="I3" s="300" t="s">
        <v>342</v>
      </c>
      <c r="J3" s="300" t="s">
        <v>344</v>
      </c>
      <c r="K3" s="352" t="s">
        <v>369</v>
      </c>
      <c r="L3" s="352" t="s">
        <v>370</v>
      </c>
      <c r="M3" s="352" t="s">
        <v>371</v>
      </c>
      <c r="N3" s="352" t="s">
        <v>372</v>
      </c>
      <c r="O3" s="1"/>
      <c r="P3" s="1"/>
      <c r="Q3" s="1"/>
      <c r="R3" s="1"/>
      <c r="S3" s="1"/>
      <c r="T3" s="1"/>
      <c r="U3" s="1"/>
      <c r="V3" s="1"/>
      <c r="W3" s="1"/>
      <c r="X3" s="1"/>
    </row>
    <row r="4" spans="1:24" hidden="1" x14ac:dyDescent="0.25">
      <c r="A4" s="1"/>
      <c r="B4" s="1"/>
      <c r="C4" s="302" t="s">
        <v>345</v>
      </c>
      <c r="D4" s="302">
        <v>46</v>
      </c>
      <c r="E4" s="302">
        <v>2.4700000000000002</v>
      </c>
      <c r="F4" s="302">
        <v>3.18</v>
      </c>
      <c r="G4" s="302"/>
      <c r="H4" s="303">
        <f>1-Table13[[#This Row],[Heat Pump (Heat kW output) Required 2010 insulation ]]/Table13[[#This Row],[Heat Pump (Heat kW output) Required 1990 insulation ]]</f>
        <v>0.22327044025157228</v>
      </c>
      <c r="I4" s="304" t="str">
        <f>J18</f>
        <v>Typical Power @ B0/W55</v>
      </c>
      <c r="J4" s="306" t="e">
        <f>Table13[[#This Row],[Elec kW Draw Continous Worst Case ]]*1.4</f>
        <v>#VALUE!</v>
      </c>
      <c r="K4" s="353"/>
      <c r="L4" s="353"/>
      <c r="M4" s="353"/>
      <c r="N4" s="353"/>
      <c r="O4" s="1"/>
      <c r="P4" s="1"/>
      <c r="Q4" s="1"/>
      <c r="R4" s="1"/>
      <c r="S4" s="1"/>
      <c r="T4" s="1"/>
      <c r="U4" s="1"/>
      <c r="V4" s="1"/>
      <c r="W4" s="1"/>
      <c r="X4" s="1"/>
    </row>
    <row r="5" spans="1:24" hidden="1" x14ac:dyDescent="0.25">
      <c r="A5" s="1"/>
      <c r="B5" s="1"/>
      <c r="C5" s="302" t="s">
        <v>346</v>
      </c>
      <c r="D5" s="302">
        <v>68</v>
      </c>
      <c r="E5" s="302">
        <v>3.74</v>
      </c>
      <c r="F5" s="302">
        <v>4.38</v>
      </c>
      <c r="G5" s="302"/>
      <c r="H5" s="303">
        <f>1-Table13[[#This Row],[Heat Pump (Heat kW output) Required 2010 insulation ]]/Table13[[#This Row],[Heat Pump (Heat kW output) Required 1990 insulation ]]</f>
        <v>0.1461187214611871</v>
      </c>
      <c r="I5" s="307">
        <f>J19</f>
        <v>2.6030735694822886</v>
      </c>
      <c r="J5" s="309">
        <f>Table13[[#This Row],[Elec kW Draw Continous Worst Case ]]*1.4</f>
        <v>3.6443029972752039</v>
      </c>
      <c r="K5" s="353"/>
      <c r="L5" s="353"/>
      <c r="M5" s="353"/>
      <c r="N5" s="353"/>
      <c r="O5" s="1"/>
      <c r="P5" s="1"/>
      <c r="Q5" s="1"/>
      <c r="R5" s="1"/>
      <c r="S5" s="1"/>
      <c r="T5" s="1"/>
      <c r="U5" s="1"/>
      <c r="V5" s="1"/>
      <c r="W5" s="1"/>
      <c r="X5" s="1"/>
    </row>
    <row r="6" spans="1:24" hidden="1" x14ac:dyDescent="0.25">
      <c r="A6" s="1"/>
      <c r="B6" s="1"/>
      <c r="C6" s="302" t="s">
        <v>347</v>
      </c>
      <c r="D6" s="302">
        <v>100</v>
      </c>
      <c r="E6" s="302">
        <v>6.19</v>
      </c>
      <c r="F6" s="302">
        <v>7.21</v>
      </c>
      <c r="G6" s="302">
        <v>9</v>
      </c>
      <c r="H6" s="303">
        <f>1-Table13[[#This Row],[Heat Pump (Heat kW output) Required 2010 insulation ]]/Table13[[#This Row],[Heat Pump (Heat kW output) Required 1990 insulation ]]</f>
        <v>0.1414701803051317</v>
      </c>
      <c r="I6" s="312">
        <v>3.8</v>
      </c>
      <c r="J6" s="312">
        <v>3.8</v>
      </c>
      <c r="K6" s="353"/>
      <c r="L6" s="353"/>
      <c r="M6" s="353"/>
      <c r="N6" s="353"/>
      <c r="O6" s="1"/>
      <c r="P6" s="1"/>
      <c r="Q6" s="1"/>
      <c r="R6" s="1"/>
      <c r="S6" s="1"/>
      <c r="T6" s="1"/>
      <c r="U6" s="1"/>
      <c r="V6" s="1"/>
      <c r="W6" s="1"/>
      <c r="X6" s="1"/>
    </row>
    <row r="7" spans="1:24" x14ac:dyDescent="0.25">
      <c r="A7" s="1"/>
      <c r="B7" s="1"/>
      <c r="C7" s="302" t="s">
        <v>348</v>
      </c>
      <c r="D7" s="302">
        <v>106</v>
      </c>
      <c r="E7" s="302">
        <v>6</v>
      </c>
      <c r="F7" s="302">
        <v>6.78</v>
      </c>
      <c r="G7" s="302">
        <v>7</v>
      </c>
      <c r="H7" s="303">
        <f>1-Table13[[#This Row],[Heat Pump (Heat kW output) Required 2010 insulation ]]/Table13[[#This Row],[Heat Pump (Heat kW output) Required 1990 insulation ]]</f>
        <v>0.11504424778761069</v>
      </c>
      <c r="I7" s="307">
        <v>2.6</v>
      </c>
      <c r="J7" s="307">
        <v>2.6</v>
      </c>
      <c r="K7" s="354">
        <v>3.97</v>
      </c>
      <c r="L7" s="355">
        <f>Table13[[#This Row],[Elec kW Draw Continous Worst Case ]]/Table13[[#This Row],[ASHP C]]</f>
        <v>0.65491183879093195</v>
      </c>
      <c r="M7" s="354">
        <v>5.56</v>
      </c>
      <c r="N7" s="355">
        <f>Table13[[#This Row],[Elec kW Draw Power Cut Average Case (No Batt)]]/Table13[[#This Row],[ASHP PC]]</f>
        <v>0.46762589928057557</v>
      </c>
      <c r="O7" s="1"/>
      <c r="P7" s="1"/>
      <c r="Q7" s="1"/>
      <c r="R7" s="1"/>
      <c r="S7" s="1"/>
      <c r="T7" s="1"/>
      <c r="U7" s="1"/>
      <c r="V7" s="1"/>
      <c r="W7" s="1"/>
      <c r="X7" s="1"/>
    </row>
    <row r="8" spans="1:24" x14ac:dyDescent="0.25">
      <c r="A8" s="1"/>
      <c r="B8" s="1"/>
      <c r="C8" s="302" t="s">
        <v>349</v>
      </c>
      <c r="D8" s="302">
        <v>150</v>
      </c>
      <c r="E8" s="302">
        <v>7.52</v>
      </c>
      <c r="F8" s="302">
        <v>8.49</v>
      </c>
      <c r="G8" s="302">
        <v>9</v>
      </c>
      <c r="H8" s="303">
        <f>1-Table13[[#This Row],[Heat Pump (Heat kW output) Required 2010 insulation ]]/Table13[[#This Row],[Heat Pump (Heat kW output) Required 1990 insulation ]]</f>
        <v>0.11425206124852771</v>
      </c>
      <c r="I8" s="312">
        <v>3.8</v>
      </c>
      <c r="J8" s="312">
        <v>3.8</v>
      </c>
      <c r="K8" s="354">
        <v>4.68</v>
      </c>
      <c r="L8" s="355">
        <f>Table13[[#This Row],[Elec kW Draw Continous Worst Case ]]/Table13[[#This Row],[ASHP C]]</f>
        <v>0.81196581196581197</v>
      </c>
      <c r="M8" s="354">
        <v>6.55</v>
      </c>
      <c r="N8" s="355">
        <f>Table13[[#This Row],[Elec kW Draw Power Cut Average Case (No Batt)]]/Table13[[#This Row],[ASHP PC]]</f>
        <v>0.58015267175572516</v>
      </c>
      <c r="O8" s="1"/>
      <c r="P8" s="1"/>
      <c r="Q8" s="1"/>
      <c r="R8" s="1"/>
      <c r="S8" s="1"/>
      <c r="T8" s="1"/>
      <c r="U8" s="1"/>
      <c r="V8" s="1"/>
      <c r="W8" s="1"/>
      <c r="X8" s="1"/>
    </row>
    <row r="9" spans="1:24" x14ac:dyDescent="0.25">
      <c r="A9" s="1"/>
      <c r="B9" s="1"/>
      <c r="C9" s="314" t="s">
        <v>350</v>
      </c>
      <c r="D9" s="314">
        <v>310</v>
      </c>
      <c r="E9" s="314">
        <v>15</v>
      </c>
      <c r="F9" s="314">
        <v>17</v>
      </c>
      <c r="G9" s="314">
        <v>17</v>
      </c>
      <c r="H9" s="303">
        <f>1-Table13[[#This Row],[Heat Pump (Heat kW output) Required 2010 insulation ]]/Table13[[#This Row],[Heat Pump (Heat kW output) Required 1990 insulation ]]</f>
        <v>0.11764705882352944</v>
      </c>
      <c r="I9" s="315">
        <v>6.5</v>
      </c>
      <c r="J9" s="315">
        <v>6.5</v>
      </c>
      <c r="K9" s="354">
        <v>9.3699999999999992</v>
      </c>
      <c r="L9" s="355">
        <f>Table13[[#This Row],[Elec kW Draw Continous Worst Case ]]/Table13[[#This Row],[ASHP C]]</f>
        <v>0.69370330843116335</v>
      </c>
      <c r="M9" s="354">
        <v>13.12</v>
      </c>
      <c r="N9" s="355">
        <f>Table13[[#This Row],[Elec kW Draw Power Cut Average Case (No Batt)]]/Table13[[#This Row],[ASHP PC]]</f>
        <v>0.49542682926829273</v>
      </c>
      <c r="O9" s="1"/>
      <c r="P9" s="1"/>
      <c r="Q9" s="1"/>
      <c r="R9" s="1"/>
      <c r="S9" s="1"/>
      <c r="T9" s="1"/>
      <c r="U9" s="1"/>
      <c r="V9" s="1"/>
      <c r="W9" s="1"/>
      <c r="X9" s="1"/>
    </row>
    <row r="10" spans="1:24" x14ac:dyDescent="0.25">
      <c r="A10" s="1"/>
      <c r="B10" s="1"/>
      <c r="C10" s="318"/>
      <c r="D10" s="319"/>
      <c r="E10" s="319"/>
      <c r="F10" s="318"/>
      <c r="G10" s="318"/>
      <c r="H10" s="320" t="s">
        <v>373</v>
      </c>
      <c r="I10" s="321" t="s">
        <v>374</v>
      </c>
      <c r="J10" s="323" t="s">
        <v>374</v>
      </c>
      <c r="K10" s="148"/>
      <c r="L10" s="356">
        <f>AVERAGE(L7:L9)</f>
        <v>0.72019365306263572</v>
      </c>
      <c r="M10" s="148"/>
      <c r="N10" s="356">
        <f>AVERAGE(N7:N9)</f>
        <v>0.51440180010153114</v>
      </c>
      <c r="O10" s="1"/>
      <c r="P10" s="1"/>
      <c r="Q10" s="1"/>
      <c r="R10" s="1"/>
      <c r="S10" s="1"/>
      <c r="T10" s="1"/>
      <c r="U10" s="1"/>
      <c r="V10" s="1"/>
      <c r="W10" s="1"/>
      <c r="X10" s="1"/>
    </row>
    <row r="11" spans="1:24" ht="15.75" thickBot="1" x14ac:dyDescent="0.3">
      <c r="A11" s="1"/>
      <c r="B11" s="1"/>
      <c r="C11" s="324"/>
      <c r="D11" s="324"/>
      <c r="E11" s="324"/>
      <c r="F11" s="324"/>
      <c r="G11" s="324"/>
      <c r="H11" s="325" t="s">
        <v>352</v>
      </c>
      <c r="I11" s="326" t="s">
        <v>353</v>
      </c>
      <c r="J11" s="328" t="s">
        <v>354</v>
      </c>
      <c r="K11" s="1"/>
      <c r="L11" s="1"/>
      <c r="M11" s="1"/>
      <c r="N11" s="1"/>
      <c r="O11" s="1"/>
      <c r="P11" s="1"/>
      <c r="Q11" s="1"/>
      <c r="R11" s="1"/>
      <c r="S11" s="1"/>
      <c r="T11" s="1"/>
      <c r="U11" s="1"/>
      <c r="V11" s="1"/>
      <c r="W11" s="1"/>
      <c r="X11" s="1"/>
    </row>
    <row r="12" spans="1:24" x14ac:dyDescent="0.25">
      <c r="A12" s="1"/>
      <c r="B12" s="1"/>
      <c r="C12" s="1"/>
      <c r="D12" s="1"/>
      <c r="E12" s="1"/>
      <c r="F12" s="329"/>
      <c r="G12" s="329"/>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282" t="s">
        <v>375</v>
      </c>
      <c r="I15" s="1"/>
      <c r="J15" s="357" t="s">
        <v>376</v>
      </c>
      <c r="K15" s="1"/>
      <c r="L15" s="1"/>
      <c r="M15" s="1"/>
      <c r="N15" s="1"/>
      <c r="O15" s="1"/>
      <c r="P15" s="1"/>
      <c r="Q15" s="1"/>
      <c r="R15" s="1"/>
      <c r="S15" s="1"/>
      <c r="T15" s="1"/>
      <c r="U15" s="1"/>
      <c r="V15" s="1"/>
      <c r="W15" s="1"/>
      <c r="X15" s="1"/>
    </row>
    <row r="16" spans="1:24" ht="14.25" customHeight="1" x14ac:dyDescent="0.25">
      <c r="A16" s="1"/>
      <c r="B16" s="1"/>
      <c r="C16" s="1"/>
      <c r="D16" s="1"/>
      <c r="E16" s="1"/>
      <c r="F16" s="1"/>
      <c r="G16" s="1"/>
      <c r="H16" s="358">
        <f>4.72/3.67</f>
        <v>1.2861035422343323</v>
      </c>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357" t="s">
        <v>377</v>
      </c>
      <c r="I18" s="357" t="s">
        <v>378</v>
      </c>
      <c r="J18" s="357" t="s">
        <v>379</v>
      </c>
      <c r="K18" s="1"/>
      <c r="L18" s="1"/>
      <c r="M18" s="1"/>
      <c r="N18" s="1"/>
      <c r="O18" s="1"/>
      <c r="P18" s="1"/>
      <c r="Q18" s="1"/>
      <c r="R18" s="1"/>
      <c r="S18" s="1"/>
      <c r="T18" s="1"/>
      <c r="U18" s="1"/>
      <c r="V18" s="1"/>
      <c r="W18" s="1"/>
      <c r="X18" s="1"/>
    </row>
    <row r="19" spans="1:24" x14ac:dyDescent="0.25">
      <c r="A19" s="1"/>
      <c r="B19" s="1"/>
      <c r="C19" s="1"/>
      <c r="D19" s="1"/>
      <c r="E19" s="1"/>
      <c r="F19" s="1"/>
      <c r="G19" s="1"/>
      <c r="H19" s="359">
        <v>7</v>
      </c>
      <c r="I19" s="359">
        <v>8.8000000000000007</v>
      </c>
      <c r="J19" s="360">
        <f>(I19*230*$H$16)/1000</f>
        <v>2.6030735694822886</v>
      </c>
      <c r="K19" s="1"/>
      <c r="L19" s="1"/>
      <c r="M19" s="1"/>
      <c r="N19" s="1"/>
      <c r="O19" s="1"/>
      <c r="P19" s="1"/>
      <c r="Q19" s="1"/>
      <c r="R19" s="1"/>
      <c r="S19" s="1"/>
      <c r="T19" s="1"/>
      <c r="U19" s="1"/>
      <c r="V19" s="1"/>
      <c r="W19" s="1"/>
      <c r="X19" s="1"/>
    </row>
    <row r="20" spans="1:24" x14ac:dyDescent="0.25">
      <c r="A20" s="1"/>
      <c r="B20" s="1"/>
      <c r="C20" s="1"/>
      <c r="D20" s="1"/>
      <c r="E20" s="1"/>
      <c r="F20" s="1"/>
      <c r="G20" s="1"/>
      <c r="H20" s="359">
        <v>9</v>
      </c>
      <c r="I20" s="359">
        <v>12.7</v>
      </c>
      <c r="J20" s="360">
        <f>(I20*230*$H$16)/1000</f>
        <v>3.7567084468664849</v>
      </c>
      <c r="K20" s="1"/>
      <c r="L20" s="1"/>
      <c r="M20" s="1"/>
      <c r="N20" s="1"/>
      <c r="O20" s="1"/>
      <c r="P20" s="1"/>
      <c r="Q20" s="1"/>
      <c r="R20" s="1"/>
      <c r="S20" s="1"/>
      <c r="T20" s="1"/>
      <c r="U20" s="1"/>
      <c r="V20" s="1"/>
      <c r="W20" s="1"/>
      <c r="X20" s="1"/>
    </row>
    <row r="21" spans="1:24" x14ac:dyDescent="0.25">
      <c r="A21" s="1"/>
      <c r="B21" s="1"/>
      <c r="C21" s="1"/>
      <c r="D21" s="1"/>
      <c r="E21" s="1"/>
      <c r="F21" s="1"/>
      <c r="G21" s="1"/>
      <c r="H21" s="359">
        <v>17</v>
      </c>
      <c r="I21" s="359">
        <v>22</v>
      </c>
      <c r="J21" s="360">
        <f>(I21*230*$H$16)/1000</f>
        <v>6.5076839237057209</v>
      </c>
      <c r="K21" s="1"/>
      <c r="L21" s="1"/>
      <c r="M21" s="1"/>
      <c r="N21" s="1"/>
      <c r="O21" s="1"/>
      <c r="P21" s="1"/>
      <c r="Q21" s="1"/>
      <c r="R21" s="1"/>
      <c r="S21" s="1"/>
      <c r="T21" s="1"/>
      <c r="U21" s="1"/>
      <c r="V21" s="1"/>
      <c r="W21" s="1"/>
      <c r="X21" s="1"/>
    </row>
    <row r="22" spans="1:24"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x14ac:dyDescent="0.25">
      <c r="A33" s="1"/>
      <c r="B33" s="1"/>
      <c r="C33" s="1"/>
      <c r="D33" s="1"/>
      <c r="E33" s="1"/>
      <c r="F33" s="1"/>
      <c r="G33" s="1"/>
      <c r="H33" s="1"/>
      <c r="I33" s="1"/>
      <c r="J33" s="1"/>
      <c r="K33" s="1"/>
      <c r="L33" s="1"/>
      <c r="M33" s="1"/>
      <c r="N33" s="1"/>
      <c r="O33" s="1"/>
      <c r="P33" s="1"/>
      <c r="Q33" s="1"/>
      <c r="R33" s="1"/>
      <c r="S33" s="1"/>
      <c r="T33" s="1"/>
      <c r="U33" s="1"/>
      <c r="V33" s="1"/>
      <c r="W33" s="1"/>
      <c r="X33" s="1"/>
    </row>
    <row r="34" spans="1:24" x14ac:dyDescent="0.25">
      <c r="A34" s="1"/>
      <c r="B34" s="1"/>
      <c r="C34" s="1"/>
      <c r="D34" s="1"/>
      <c r="E34" s="1"/>
      <c r="F34" s="1"/>
      <c r="G34" s="1"/>
      <c r="H34" s="1"/>
      <c r="I34" s="1"/>
      <c r="J34" s="1"/>
      <c r="K34" s="1"/>
      <c r="L34" s="1"/>
      <c r="M34" s="1"/>
      <c r="N34" s="1"/>
      <c r="O34" s="1"/>
      <c r="P34" s="1"/>
      <c r="Q34" s="1"/>
      <c r="R34" s="1"/>
      <c r="S34" s="1"/>
      <c r="T34" s="1"/>
      <c r="U34" s="1"/>
      <c r="V34" s="1"/>
      <c r="W34" s="1"/>
      <c r="X34" s="1"/>
    </row>
    <row r="35" spans="1:24" x14ac:dyDescent="0.25">
      <c r="A35" s="1"/>
      <c r="B35" s="1"/>
      <c r="C35" s="1"/>
      <c r="D35" s="1"/>
      <c r="E35" s="1"/>
      <c r="F35" s="1"/>
      <c r="G35" s="1"/>
      <c r="H35" s="1"/>
      <c r="I35" s="1"/>
      <c r="J35" s="1"/>
      <c r="K35" s="1"/>
      <c r="L35" s="1"/>
      <c r="M35" s="1"/>
      <c r="N35" s="1"/>
      <c r="O35" s="1"/>
      <c r="P35" s="1"/>
      <c r="Q35" s="1"/>
      <c r="R35" s="1"/>
      <c r="S35" s="1"/>
      <c r="T35" s="1"/>
      <c r="U35" s="1"/>
      <c r="V35" s="1"/>
      <c r="W35" s="1"/>
      <c r="X35" s="1"/>
    </row>
    <row r="36" spans="1:24" x14ac:dyDescent="0.25">
      <c r="A36" s="1"/>
      <c r="B36" s="1"/>
      <c r="C36" s="1"/>
      <c r="D36" s="1"/>
      <c r="E36" s="1"/>
      <c r="F36" s="1"/>
      <c r="G36" s="1"/>
      <c r="H36" s="1"/>
      <c r="I36" s="1"/>
      <c r="J36" s="1"/>
      <c r="K36" s="1"/>
      <c r="L36" s="1"/>
      <c r="M36" s="1"/>
      <c r="N36" s="1"/>
      <c r="O36" s="1"/>
      <c r="P36" s="1"/>
      <c r="Q36" s="1"/>
      <c r="R36" s="1"/>
      <c r="S36" s="1"/>
      <c r="T36" s="1"/>
      <c r="U36" s="1"/>
      <c r="V36" s="1"/>
      <c r="W36" s="1"/>
      <c r="X36" s="1"/>
    </row>
    <row r="37" spans="1:24" x14ac:dyDescent="0.25">
      <c r="A37" s="1"/>
      <c r="B37" s="1"/>
      <c r="C37" s="1"/>
      <c r="D37" s="1"/>
      <c r="E37" s="1"/>
      <c r="F37" s="1"/>
      <c r="G37" s="1"/>
      <c r="H37" s="1"/>
      <c r="I37" s="1"/>
      <c r="J37" s="1"/>
      <c r="K37" s="1"/>
      <c r="L37" s="1"/>
      <c r="M37" s="1"/>
      <c r="N37" s="1"/>
      <c r="O37" s="1"/>
      <c r="P37" s="1"/>
      <c r="Q37" s="1"/>
      <c r="R37" s="1"/>
      <c r="S37" s="1"/>
      <c r="T37" s="1"/>
      <c r="U37" s="1"/>
      <c r="V37" s="1"/>
      <c r="W37" s="1"/>
      <c r="X37" s="1"/>
    </row>
    <row r="38" spans="1:24" x14ac:dyDescent="0.25">
      <c r="A38" s="1"/>
      <c r="B38" s="1"/>
      <c r="C38" s="1"/>
      <c r="D38" s="1"/>
      <c r="E38" s="1"/>
      <c r="F38" s="1"/>
      <c r="G38" s="1"/>
      <c r="H38" s="1"/>
      <c r="I38" s="1"/>
      <c r="J38" s="1"/>
      <c r="K38" s="1"/>
      <c r="L38" s="1"/>
      <c r="M38" s="1"/>
      <c r="N38" s="1"/>
      <c r="O38" s="1"/>
      <c r="P38" s="1"/>
      <c r="Q38" s="1"/>
      <c r="R38" s="1"/>
      <c r="S38" s="1"/>
      <c r="T38" s="1"/>
      <c r="U38" s="1"/>
      <c r="V38" s="1"/>
      <c r="W38" s="1"/>
      <c r="X38" s="1"/>
    </row>
    <row r="39" spans="1:24" x14ac:dyDescent="0.25">
      <c r="A39" s="1"/>
      <c r="B39" s="1"/>
      <c r="C39" s="1"/>
      <c r="D39" s="1"/>
      <c r="E39" s="1"/>
      <c r="F39" s="1"/>
      <c r="G39" s="1"/>
      <c r="H39" s="1"/>
      <c r="I39" s="1"/>
      <c r="J39" s="1"/>
      <c r="K39" s="1"/>
      <c r="L39" s="1"/>
      <c r="M39" s="1"/>
      <c r="N39" s="1"/>
      <c r="O39" s="1"/>
      <c r="P39" s="1"/>
      <c r="Q39" s="1"/>
      <c r="R39" s="1"/>
      <c r="S39" s="1"/>
      <c r="T39" s="1"/>
      <c r="U39" s="1"/>
      <c r="V39" s="1"/>
      <c r="W39" s="1"/>
      <c r="X39" s="1"/>
    </row>
    <row r="40" spans="1:24" x14ac:dyDescent="0.25">
      <c r="A40" s="1"/>
      <c r="B40" s="1"/>
      <c r="C40" s="1"/>
      <c r="D40" s="1"/>
      <c r="E40" s="1"/>
      <c r="F40" s="1"/>
      <c r="G40" s="1"/>
      <c r="H40" s="1"/>
      <c r="I40" s="1"/>
      <c r="J40" s="1"/>
      <c r="K40" s="1"/>
      <c r="L40" s="1"/>
      <c r="M40" s="1"/>
      <c r="N40" s="1"/>
      <c r="O40" s="1"/>
      <c r="P40" s="1"/>
      <c r="Q40" s="1"/>
      <c r="R40" s="1"/>
      <c r="S40" s="1"/>
      <c r="T40" s="1"/>
      <c r="U40" s="1"/>
      <c r="V40" s="1"/>
      <c r="W40" s="1"/>
      <c r="X40" s="1"/>
    </row>
    <row r="41" spans="1:24" x14ac:dyDescent="0.25">
      <c r="A41" s="1"/>
      <c r="B41" s="1"/>
      <c r="C41" s="1"/>
      <c r="D41" s="1"/>
      <c r="E41" s="1"/>
      <c r="F41" s="1"/>
      <c r="G41" s="1"/>
      <c r="H41" s="1"/>
      <c r="I41" s="1"/>
      <c r="J41" s="1"/>
      <c r="K41" s="1"/>
      <c r="L41" s="1"/>
      <c r="M41" s="1"/>
      <c r="N41" s="1"/>
      <c r="O41" s="1"/>
      <c r="P41" s="1"/>
      <c r="Q41" s="1"/>
      <c r="R41" s="1"/>
      <c r="S41" s="1"/>
      <c r="T41" s="1"/>
      <c r="U41" s="1"/>
      <c r="V41" s="1"/>
      <c r="W41" s="1"/>
      <c r="X41" s="1"/>
    </row>
    <row r="42" spans="1:24"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x14ac:dyDescent="0.25">
      <c r="A44" s="1"/>
      <c r="B44" s="1"/>
      <c r="C44" s="1"/>
      <c r="D44" s="1"/>
      <c r="E44" s="1"/>
      <c r="F44" s="1"/>
      <c r="G44" s="1"/>
      <c r="H44" s="1"/>
      <c r="I44" s="1"/>
      <c r="J44" s="1"/>
      <c r="K44" s="1"/>
      <c r="L44" s="1"/>
      <c r="M44" s="1"/>
      <c r="N44" s="1"/>
      <c r="O44" s="1"/>
      <c r="P44" s="1"/>
      <c r="Q44" s="1"/>
      <c r="R44" s="1"/>
      <c r="S44" s="1"/>
      <c r="T44" s="1"/>
      <c r="U44" s="1"/>
      <c r="V44" s="1"/>
      <c r="W44" s="1"/>
      <c r="X44" s="1"/>
    </row>
    <row r="45" spans="1:24"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x14ac:dyDescent="0.25">
      <c r="A63" s="1"/>
      <c r="B63" s="1"/>
      <c r="C63" s="1"/>
      <c r="D63" s="1"/>
      <c r="E63" s="1"/>
      <c r="F63" s="1"/>
      <c r="G63" s="1"/>
      <c r="H63" s="1"/>
      <c r="I63" s="1"/>
      <c r="J63" s="1"/>
      <c r="K63" s="1"/>
      <c r="L63" s="1"/>
      <c r="M63" s="1"/>
      <c r="N63" s="1"/>
      <c r="O63" s="1"/>
      <c r="P63" s="1"/>
      <c r="Q63" s="1"/>
      <c r="R63" s="1"/>
      <c r="S63" s="1"/>
      <c r="T63" s="1"/>
      <c r="U63" s="1"/>
      <c r="V63" s="1"/>
      <c r="W63" s="1"/>
      <c r="X63" s="1"/>
    </row>
  </sheetData>
  <pageMargins left="0.7" right="0.7" top="0.75" bottom="0.75" header="0.3" footer="0.3"/>
  <pageSetup paperSize="9" orientation="portrait" r:id="rId1"/>
  <headerFooter>
    <oddFooter>&amp;C&amp;1#&amp;"Calibri"&amp;12&amp;K008000Internal Use</oddFooter>
  </headerFooter>
  <drawing r:id="rId2"/>
  <legacyDrawing r:id="rId3"/>
  <tableParts count="1">
    <tablePart r:id="rId4"/>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8307-47F8-473B-B8F8-1CDC0167DCCA}">
  <sheetPr>
    <tabColor rgb="FF7030A0"/>
  </sheetPr>
  <dimension ref="A1:X62"/>
  <sheetViews>
    <sheetView topLeftCell="G1" zoomScale="110" zoomScaleNormal="110" workbookViewId="0">
      <selection activeCell="V90" sqref="V90"/>
    </sheetView>
  </sheetViews>
  <sheetFormatPr defaultRowHeight="15" x14ac:dyDescent="0.25"/>
  <cols>
    <col min="3" max="3" width="18.85546875" customWidth="1"/>
    <col min="5" max="5" width="22.7109375" customWidth="1"/>
    <col min="6" max="6" width="33.140625" customWidth="1"/>
    <col min="7" max="7" width="22.42578125" customWidth="1"/>
    <col min="8" max="8" width="16.7109375" customWidth="1"/>
    <col min="9" max="9" width="24.42578125" customWidth="1"/>
    <col min="10" max="10" width="29.7109375" customWidth="1"/>
    <col min="12" max="12" width="11.7109375" customWidth="1"/>
    <col min="14" max="14" width="17" customWidth="1"/>
    <col min="15" max="15" width="18.7109375" customWidth="1"/>
    <col min="17" max="17" width="17.14062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ht="15.75" thickBot="1" x14ac:dyDescent="0.3">
      <c r="A2" s="1"/>
      <c r="B2" s="1"/>
      <c r="C2" s="1"/>
      <c r="D2" s="1"/>
      <c r="E2" s="1"/>
      <c r="F2" s="1"/>
      <c r="G2" s="1"/>
      <c r="H2" s="1"/>
      <c r="I2" s="1"/>
      <c r="J2" s="1"/>
      <c r="K2" s="1"/>
      <c r="L2" s="1"/>
      <c r="M2" s="1"/>
      <c r="N2" s="1"/>
      <c r="O2" s="1"/>
      <c r="P2" s="1"/>
      <c r="Q2" s="1"/>
      <c r="R2" s="1"/>
      <c r="S2" s="1"/>
      <c r="T2" s="1"/>
      <c r="U2" s="1"/>
      <c r="V2" s="1"/>
      <c r="W2" s="1"/>
      <c r="X2" s="1"/>
    </row>
    <row r="3" spans="1:24" ht="57.75" customHeight="1" thickBot="1" x14ac:dyDescent="0.3">
      <c r="A3" s="1"/>
      <c r="B3" s="1"/>
      <c r="C3" s="302" t="s">
        <v>337</v>
      </c>
      <c r="D3" s="302" t="s">
        <v>338</v>
      </c>
      <c r="E3" s="351" t="s">
        <v>339</v>
      </c>
      <c r="F3" s="351" t="s">
        <v>340</v>
      </c>
      <c r="G3" s="351" t="s">
        <v>368</v>
      </c>
      <c r="H3" s="299" t="s">
        <v>341</v>
      </c>
      <c r="I3" s="300" t="s">
        <v>342</v>
      </c>
      <c r="J3" s="300" t="s">
        <v>344</v>
      </c>
      <c r="K3" s="352" t="s">
        <v>369</v>
      </c>
      <c r="L3" s="352" t="s">
        <v>382</v>
      </c>
      <c r="M3" s="352" t="s">
        <v>371</v>
      </c>
      <c r="N3" s="352" t="s">
        <v>383</v>
      </c>
      <c r="O3" s="1"/>
      <c r="P3" s="1"/>
      <c r="Q3" s="1"/>
      <c r="R3" s="1"/>
      <c r="S3" s="1"/>
      <c r="T3" s="1"/>
      <c r="U3" s="1"/>
      <c r="V3" s="1"/>
      <c r="W3" s="1"/>
      <c r="X3" s="1"/>
    </row>
    <row r="4" spans="1:24" hidden="1" x14ac:dyDescent="0.25">
      <c r="A4" s="1"/>
      <c r="B4" s="1"/>
      <c r="C4" s="302" t="s">
        <v>345</v>
      </c>
      <c r="D4" s="302">
        <v>46</v>
      </c>
      <c r="E4" s="302">
        <v>2.4700000000000002</v>
      </c>
      <c r="F4" s="302">
        <v>3.18</v>
      </c>
      <c r="G4" s="302"/>
      <c r="H4" s="303">
        <f>1-Table134[[#This Row],[Heat Pump (Heat kW output) Required 2010 insulation ]]/Table134[[#This Row],[Heat Pump (Heat kW output) Required 1990 insulation ]]</f>
        <v>0.22327044025157228</v>
      </c>
      <c r="I4" s="304">
        <f>J17</f>
        <v>0</v>
      </c>
      <c r="J4" s="306">
        <f>Table134[[#This Row],[Elec kW Draw Continous Worst Case ]]*1.4</f>
        <v>0</v>
      </c>
      <c r="K4" s="353"/>
      <c r="L4" s="353"/>
      <c r="M4" s="353"/>
      <c r="N4" s="353"/>
      <c r="O4" s="1"/>
      <c r="P4" s="1"/>
      <c r="Q4" s="1"/>
      <c r="R4" s="1"/>
      <c r="S4" s="1"/>
      <c r="T4" s="1"/>
      <c r="U4" s="1"/>
      <c r="V4" s="1"/>
      <c r="W4" s="1"/>
      <c r="X4" s="1"/>
    </row>
    <row r="5" spans="1:24" hidden="1" x14ac:dyDescent="0.25">
      <c r="A5" s="1"/>
      <c r="B5" s="1"/>
      <c r="C5" s="302" t="s">
        <v>346</v>
      </c>
      <c r="D5" s="302">
        <v>68</v>
      </c>
      <c r="E5" s="302">
        <v>3.74</v>
      </c>
      <c r="F5" s="302">
        <v>4.38</v>
      </c>
      <c r="G5" s="302"/>
      <c r="H5" s="303">
        <f>1-Table134[[#This Row],[Heat Pump (Heat kW output) Required 2010 insulation ]]/Table134[[#This Row],[Heat Pump (Heat kW output) Required 1990 insulation ]]</f>
        <v>0.1461187214611871</v>
      </c>
      <c r="I5" s="307" t="str">
        <f>J18</f>
        <v>Current Drawn (A)</v>
      </c>
      <c r="J5" s="309" t="e">
        <f>Table134[[#This Row],[Elec kW Draw Continous Worst Case ]]*1.4</f>
        <v>#VALUE!</v>
      </c>
      <c r="K5" s="353"/>
      <c r="L5" s="353"/>
      <c r="M5" s="353"/>
      <c r="N5" s="353"/>
      <c r="O5" s="1"/>
      <c r="P5" s="1"/>
      <c r="Q5" s="1"/>
      <c r="R5" s="1"/>
      <c r="S5" s="1"/>
      <c r="T5" s="1"/>
      <c r="U5" s="1"/>
      <c r="V5" s="1"/>
      <c r="W5" s="1"/>
      <c r="X5" s="1"/>
    </row>
    <row r="6" spans="1:24" hidden="1" x14ac:dyDescent="0.25">
      <c r="A6" s="1"/>
      <c r="B6" s="1"/>
      <c r="C6" s="302" t="s">
        <v>347</v>
      </c>
      <c r="D6" s="302">
        <v>100</v>
      </c>
      <c r="E6" s="302">
        <v>6.19</v>
      </c>
      <c r="F6" s="302">
        <v>7.21</v>
      </c>
      <c r="G6" s="302">
        <v>9</v>
      </c>
      <c r="H6" s="303">
        <f>1-Table134[[#This Row],[Heat Pump (Heat kW output) Required 2010 insulation ]]/Table134[[#This Row],[Heat Pump (Heat kW output) Required 1990 insulation ]]</f>
        <v>0.1414701803051317</v>
      </c>
      <c r="I6" s="312">
        <v>3.8</v>
      </c>
      <c r="J6" s="312">
        <v>3.8</v>
      </c>
      <c r="K6" s="353"/>
      <c r="L6" s="353"/>
      <c r="M6" s="353"/>
      <c r="N6" s="353"/>
      <c r="O6" s="1"/>
      <c r="P6" s="1"/>
      <c r="Q6" s="1"/>
      <c r="R6" s="1"/>
      <c r="S6" s="1"/>
      <c r="T6" s="1"/>
      <c r="U6" s="1"/>
      <c r="V6" s="1"/>
      <c r="W6" s="1"/>
      <c r="X6" s="1"/>
    </row>
    <row r="7" spans="1:24" x14ac:dyDescent="0.25">
      <c r="A7" s="1"/>
      <c r="B7" s="1"/>
      <c r="C7" s="302" t="s">
        <v>349</v>
      </c>
      <c r="D7" s="302">
        <v>150</v>
      </c>
      <c r="E7" s="302">
        <v>5</v>
      </c>
      <c r="F7" s="302">
        <v>5</v>
      </c>
      <c r="G7" s="302">
        <v>5</v>
      </c>
      <c r="H7" s="303">
        <f>1-Table134[[#This Row],[Heat Pump (Heat kW output) Required 2010 insulation ]]/Table134[[#This Row],[Heat Pump (Heat kW output) Required 1990 insulation ]]</f>
        <v>0</v>
      </c>
      <c r="I7" s="312">
        <v>1.22</v>
      </c>
      <c r="J7" s="312">
        <v>1.22</v>
      </c>
      <c r="K7" s="354">
        <v>2.41</v>
      </c>
      <c r="L7" s="355">
        <f>Table134[[#This Row],[Elec kW Draw Continous Worst Case ]]/Table134[[#This Row],[ASHP C]]</f>
        <v>0.50622406639004147</v>
      </c>
      <c r="M7" s="354">
        <v>6.55</v>
      </c>
      <c r="N7" s="355">
        <f>Table134[[#This Row],[Elec kW Draw Power Cut Average Case (No Batt)]]/Table134[[#This Row],[ASHP PC]]</f>
        <v>0.18625954198473282</v>
      </c>
      <c r="O7" s="1"/>
      <c r="P7" s="1"/>
      <c r="Q7" s="1"/>
      <c r="R7" s="1"/>
      <c r="S7" s="1"/>
      <c r="T7" s="1"/>
      <c r="U7" s="1"/>
      <c r="V7" s="1"/>
      <c r="W7" s="1"/>
      <c r="X7" s="1"/>
    </row>
    <row r="8" spans="1:24" x14ac:dyDescent="0.25">
      <c r="A8" s="1"/>
      <c r="B8" s="1"/>
      <c r="C8" s="314" t="s">
        <v>350</v>
      </c>
      <c r="D8" s="314">
        <v>310</v>
      </c>
      <c r="E8" s="314">
        <v>8</v>
      </c>
      <c r="F8" s="314">
        <v>8</v>
      </c>
      <c r="G8" s="314">
        <v>8</v>
      </c>
      <c r="H8" s="303">
        <f>1-Table134[[#This Row],[Heat Pump (Heat kW output) Required 2010 insulation ]]/Table134[[#This Row],[Heat Pump (Heat kW output) Required 1990 insulation ]]</f>
        <v>0</v>
      </c>
      <c r="I8" s="315">
        <v>2.69</v>
      </c>
      <c r="J8" s="315">
        <v>2.69</v>
      </c>
      <c r="K8" s="354">
        <v>4.68</v>
      </c>
      <c r="L8" s="355">
        <f>Table134[[#This Row],[Elec kW Draw Continous Worst Case ]]/Table134[[#This Row],[ASHP C]]</f>
        <v>0.57478632478632485</v>
      </c>
      <c r="M8" s="354">
        <v>13.12</v>
      </c>
      <c r="N8" s="355">
        <f>Table134[[#This Row],[Elec kW Draw Power Cut Average Case (No Batt)]]/Table134[[#This Row],[ASHP PC]]</f>
        <v>0.20503048780487806</v>
      </c>
      <c r="O8" s="1"/>
      <c r="P8" s="1"/>
      <c r="Q8" s="1"/>
      <c r="R8" s="1"/>
      <c r="S8" s="1"/>
      <c r="T8" s="1"/>
      <c r="U8" s="1"/>
      <c r="V8" s="1"/>
      <c r="W8" s="1"/>
      <c r="X8" s="1"/>
    </row>
    <row r="9" spans="1:24" x14ac:dyDescent="0.25">
      <c r="A9" s="1"/>
      <c r="B9" s="1"/>
      <c r="C9" s="318"/>
      <c r="D9" s="319"/>
      <c r="E9" s="319"/>
      <c r="F9" s="318"/>
      <c r="G9" s="318"/>
      <c r="H9" s="320" t="s">
        <v>373</v>
      </c>
      <c r="I9" s="321" t="s">
        <v>384</v>
      </c>
      <c r="J9" s="323" t="s">
        <v>384</v>
      </c>
      <c r="K9" s="148"/>
      <c r="L9" s="356">
        <f>AVERAGE(L7:L8)</f>
        <v>0.54050519558818322</v>
      </c>
      <c r="M9" s="148"/>
      <c r="N9" s="356">
        <f>AVERAGE(N7:N8)</f>
        <v>0.19564501489480546</v>
      </c>
      <c r="O9" s="1"/>
      <c r="P9" s="1"/>
      <c r="Q9" s="1"/>
      <c r="R9" s="1"/>
      <c r="S9" s="1"/>
      <c r="T9" s="1"/>
      <c r="U9" s="1"/>
      <c r="V9" s="1"/>
      <c r="W9" s="1"/>
      <c r="X9" s="1"/>
    </row>
    <row r="10" spans="1:24" ht="15.75" thickBot="1" x14ac:dyDescent="0.3">
      <c r="A10" s="1"/>
      <c r="B10" s="1"/>
      <c r="C10" s="324"/>
      <c r="D10" s="324"/>
      <c r="E10" s="324"/>
      <c r="F10" s="324"/>
      <c r="G10" s="324"/>
      <c r="H10" s="325" t="s">
        <v>352</v>
      </c>
      <c r="I10" s="326" t="s">
        <v>353</v>
      </c>
      <c r="J10" s="328" t="s">
        <v>354</v>
      </c>
      <c r="K10" s="1"/>
      <c r="L10" s="1"/>
      <c r="M10" s="1"/>
      <c r="N10" s="1"/>
      <c r="O10" s="1"/>
      <c r="P10" s="1"/>
      <c r="Q10" s="1"/>
      <c r="R10" s="1"/>
      <c r="S10" s="1"/>
      <c r="T10" s="1"/>
      <c r="U10" s="1"/>
      <c r="V10" s="1"/>
      <c r="W10" s="1"/>
      <c r="X10" s="1"/>
    </row>
    <row r="11" spans="1:24" x14ac:dyDescent="0.25">
      <c r="A11" s="1"/>
      <c r="B11" s="1"/>
      <c r="C11" s="1"/>
      <c r="D11" s="1"/>
      <c r="E11" s="1"/>
      <c r="F11" s="329"/>
      <c r="G11" s="329"/>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thickBot="1" x14ac:dyDescent="0.3">
      <c r="A15" s="1"/>
      <c r="B15" s="1"/>
      <c r="C15" s="1"/>
      <c r="D15" s="1"/>
      <c r="E15" s="1"/>
      <c r="F15" s="1"/>
      <c r="G15" s="1"/>
      <c r="H15" s="1"/>
      <c r="I15" s="1"/>
      <c r="J15" s="1"/>
      <c r="K15" s="1"/>
      <c r="L15" s="1"/>
      <c r="M15" s="1"/>
      <c r="N15" s="1"/>
      <c r="O15" s="1"/>
      <c r="P15" s="1"/>
      <c r="Q15" s="1"/>
      <c r="R15" s="1"/>
      <c r="S15" s="1"/>
      <c r="T15" s="1"/>
      <c r="U15" s="1"/>
      <c r="V15" s="1"/>
      <c r="W15" s="1"/>
      <c r="X15" s="1"/>
    </row>
    <row r="16" spans="1:24" ht="15.75" thickBot="1" x14ac:dyDescent="0.3">
      <c r="A16" s="1"/>
      <c r="B16" s="1"/>
      <c r="C16" s="511" t="s">
        <v>385</v>
      </c>
      <c r="D16" s="512"/>
      <c r="E16" s="512"/>
      <c r="F16" s="512"/>
      <c r="G16" s="512"/>
      <c r="H16" s="512"/>
      <c r="I16" s="512"/>
      <c r="J16" s="513"/>
      <c r="K16" s="514" t="s">
        <v>386</v>
      </c>
      <c r="O16" s="1"/>
      <c r="P16" s="1"/>
      <c r="Q16" s="1"/>
      <c r="R16" s="1"/>
      <c r="S16" s="1"/>
      <c r="T16" s="1"/>
      <c r="U16" s="1"/>
      <c r="V16" s="1"/>
      <c r="W16" s="1"/>
      <c r="X16" s="1"/>
    </row>
    <row r="17" spans="1:24" ht="15.75" thickBot="1" x14ac:dyDescent="0.3">
      <c r="A17" s="1"/>
      <c r="B17" s="1"/>
      <c r="C17" s="517" t="s">
        <v>387</v>
      </c>
      <c r="D17" s="518" t="s">
        <v>388</v>
      </c>
      <c r="E17" s="520" t="s">
        <v>389</v>
      </c>
      <c r="F17" s="521"/>
      <c r="G17" s="522"/>
      <c r="H17" s="520" t="s">
        <v>390</v>
      </c>
      <c r="I17" s="521"/>
      <c r="J17" s="522"/>
      <c r="K17" s="515"/>
      <c r="O17" s="1"/>
      <c r="P17" s="1"/>
      <c r="Q17" s="1"/>
      <c r="R17" s="1"/>
      <c r="S17" s="1"/>
      <c r="T17" s="1"/>
      <c r="U17" s="1"/>
      <c r="V17" s="1"/>
      <c r="W17" s="1"/>
      <c r="X17" s="1"/>
    </row>
    <row r="18" spans="1:24" ht="90.75" thickBot="1" x14ac:dyDescent="0.3">
      <c r="A18" s="1"/>
      <c r="B18" s="1"/>
      <c r="C18" s="516"/>
      <c r="D18" s="519"/>
      <c r="E18" s="365" t="s">
        <v>391</v>
      </c>
      <c r="F18" s="366" t="s">
        <v>392</v>
      </c>
      <c r="G18" s="367" t="s">
        <v>393</v>
      </c>
      <c r="H18" s="365" t="s">
        <v>391</v>
      </c>
      <c r="I18" s="366" t="s">
        <v>392</v>
      </c>
      <c r="J18" s="367" t="s">
        <v>393</v>
      </c>
      <c r="K18" s="516"/>
      <c r="L18" s="368" t="s">
        <v>394</v>
      </c>
      <c r="M18" s="369" t="s">
        <v>395</v>
      </c>
      <c r="N18" s="370" t="s">
        <v>396</v>
      </c>
      <c r="O18" s="1"/>
      <c r="P18" s="1"/>
      <c r="Q18" s="1"/>
      <c r="R18" s="1"/>
      <c r="S18" s="1"/>
      <c r="T18" s="1"/>
      <c r="U18" s="1"/>
      <c r="V18" s="1"/>
      <c r="W18" s="1"/>
      <c r="X18" s="1"/>
    </row>
    <row r="19" spans="1:24" x14ac:dyDescent="0.25">
      <c r="A19" s="1"/>
      <c r="B19" s="1"/>
      <c r="C19" s="371" t="s">
        <v>397</v>
      </c>
      <c r="D19" s="372">
        <v>30</v>
      </c>
      <c r="E19" s="373">
        <v>6.02</v>
      </c>
      <c r="F19" s="374">
        <v>8.14</v>
      </c>
      <c r="G19" s="375">
        <v>3.22</v>
      </c>
      <c r="H19" s="373">
        <v>13.81</v>
      </c>
      <c r="I19" s="374">
        <v>6.14</v>
      </c>
      <c r="J19" s="375">
        <v>9.7799999999999994</v>
      </c>
      <c r="K19" s="376"/>
      <c r="L19" s="377">
        <f>R21</f>
        <v>0</v>
      </c>
      <c r="M19" s="378">
        <f>I50/F19</f>
        <v>1.597051597051597</v>
      </c>
      <c r="N19" s="379">
        <f>I50/I19</f>
        <v>2.1172638436482085</v>
      </c>
      <c r="O19" s="1"/>
      <c r="P19" s="1"/>
      <c r="Q19" s="1"/>
      <c r="R19" s="1"/>
      <c r="S19" s="1"/>
      <c r="T19" s="1"/>
      <c r="U19" s="1"/>
      <c r="V19" s="1"/>
      <c r="W19" s="1"/>
      <c r="X19" s="1"/>
    </row>
    <row r="20" spans="1:24" x14ac:dyDescent="0.25">
      <c r="A20" s="1"/>
      <c r="B20" s="1"/>
      <c r="C20" s="380" t="s">
        <v>398</v>
      </c>
      <c r="D20" s="381">
        <v>31</v>
      </c>
      <c r="E20" s="382">
        <v>5.87</v>
      </c>
      <c r="F20" s="383">
        <v>7.72</v>
      </c>
      <c r="G20" s="384">
        <v>3.3</v>
      </c>
      <c r="H20" s="382">
        <v>13.39</v>
      </c>
      <c r="I20" s="383">
        <v>5.85</v>
      </c>
      <c r="J20" s="384">
        <v>9.9600000000000009</v>
      </c>
      <c r="K20" s="376"/>
      <c r="L20" s="385">
        <f>L19</f>
        <v>0</v>
      </c>
      <c r="M20" s="144">
        <f>I50/F20</f>
        <v>1.6839378238341969</v>
      </c>
      <c r="N20" s="386">
        <f>I50/I20</f>
        <v>2.2222222222222223</v>
      </c>
      <c r="O20" s="1"/>
      <c r="P20" s="1"/>
      <c r="Q20" s="1"/>
      <c r="R20" s="1"/>
      <c r="S20" s="1"/>
      <c r="T20" s="1"/>
      <c r="U20" s="1"/>
      <c r="V20" s="1"/>
      <c r="W20" s="1"/>
      <c r="X20" s="1"/>
    </row>
    <row r="21" spans="1:24" x14ac:dyDescent="0.25">
      <c r="A21" s="1"/>
      <c r="B21" s="1"/>
      <c r="C21" s="387">
        <v>18</v>
      </c>
      <c r="D21" s="388">
        <v>32</v>
      </c>
      <c r="E21" s="389">
        <v>5.73</v>
      </c>
      <c r="F21" s="390">
        <v>7.44</v>
      </c>
      <c r="G21" s="391">
        <v>3.35</v>
      </c>
      <c r="H21" s="389">
        <v>12.96</v>
      </c>
      <c r="I21" s="390">
        <v>5.59</v>
      </c>
      <c r="J21" s="391">
        <v>10.09</v>
      </c>
      <c r="K21" s="376"/>
      <c r="L21" s="385">
        <f t="shared" ref="L21:L44" si="0">L20</f>
        <v>0</v>
      </c>
      <c r="M21" s="144">
        <f>I50/F21</f>
        <v>1.7473118279569892</v>
      </c>
      <c r="N21" s="386">
        <f>I50/I21</f>
        <v>2.3255813953488373</v>
      </c>
      <c r="O21" s="1"/>
      <c r="P21" s="1"/>
      <c r="Q21" s="1"/>
      <c r="R21" s="1"/>
      <c r="S21" s="1"/>
      <c r="T21" s="1"/>
      <c r="U21" s="1"/>
      <c r="V21" s="1"/>
      <c r="W21" s="1"/>
      <c r="X21" s="1"/>
    </row>
    <row r="22" spans="1:24" x14ac:dyDescent="0.25">
      <c r="A22" s="1"/>
      <c r="B22" s="1"/>
      <c r="C22" s="380">
        <v>17</v>
      </c>
      <c r="D22" s="381">
        <v>33</v>
      </c>
      <c r="E22" s="382">
        <v>5.58</v>
      </c>
      <c r="F22" s="383">
        <v>7.15</v>
      </c>
      <c r="G22" s="384">
        <v>3.39</v>
      </c>
      <c r="H22" s="382">
        <v>12.55</v>
      </c>
      <c r="I22" s="383">
        <v>5.32</v>
      </c>
      <c r="J22" s="384">
        <v>10.26</v>
      </c>
      <c r="K22" s="376"/>
      <c r="L22" s="385">
        <f t="shared" si="0"/>
        <v>0</v>
      </c>
      <c r="M22" s="144">
        <f>I50/F22</f>
        <v>1.8181818181818181</v>
      </c>
      <c r="N22" s="386">
        <f>I50/I22</f>
        <v>2.4436090225563909</v>
      </c>
      <c r="O22" s="1"/>
      <c r="P22" s="1"/>
      <c r="Q22" s="1"/>
      <c r="R22" s="1"/>
      <c r="S22" s="1"/>
      <c r="T22" s="1"/>
      <c r="U22" s="1"/>
      <c r="V22" s="1"/>
      <c r="W22" s="1"/>
      <c r="X22" s="1"/>
    </row>
    <row r="23" spans="1:24" x14ac:dyDescent="0.25">
      <c r="A23" s="1"/>
      <c r="B23" s="1"/>
      <c r="C23" s="387">
        <v>16</v>
      </c>
      <c r="D23" s="388">
        <v>34</v>
      </c>
      <c r="E23" s="389">
        <v>5.44</v>
      </c>
      <c r="F23" s="390">
        <v>6.8</v>
      </c>
      <c r="G23" s="391">
        <v>3.48</v>
      </c>
      <c r="H23" s="389">
        <v>12.13</v>
      </c>
      <c r="I23" s="390">
        <v>5.05</v>
      </c>
      <c r="J23" s="391">
        <v>10.43</v>
      </c>
      <c r="K23" s="376"/>
      <c r="L23" s="385">
        <f t="shared" si="0"/>
        <v>0</v>
      </c>
      <c r="M23" s="144">
        <f>I50/F23</f>
        <v>1.911764705882353</v>
      </c>
      <c r="N23" s="386">
        <f>I50/I23</f>
        <v>2.5742574257425743</v>
      </c>
      <c r="O23" s="1"/>
      <c r="P23" s="1"/>
      <c r="Q23" s="1"/>
      <c r="R23" s="1"/>
      <c r="S23" s="1"/>
      <c r="T23" s="1"/>
      <c r="U23" s="1"/>
      <c r="V23" s="1"/>
      <c r="W23" s="1"/>
      <c r="X23" s="1"/>
    </row>
    <row r="24" spans="1:24" x14ac:dyDescent="0.25">
      <c r="A24" s="1"/>
      <c r="B24" s="1"/>
      <c r="C24" s="137">
        <v>15</v>
      </c>
      <c r="D24" s="392">
        <v>35</v>
      </c>
      <c r="E24" s="393">
        <v>5.29</v>
      </c>
      <c r="F24" s="394">
        <v>6.53</v>
      </c>
      <c r="G24" s="392">
        <v>3.52</v>
      </c>
      <c r="H24" s="393">
        <v>11.72</v>
      </c>
      <c r="I24" s="394">
        <v>4.8</v>
      </c>
      <c r="J24" s="392">
        <v>10.61</v>
      </c>
      <c r="K24" s="376"/>
      <c r="L24" s="385">
        <f t="shared" si="0"/>
        <v>0</v>
      </c>
      <c r="M24" s="144">
        <f>I50/F24</f>
        <v>1.9908116385911179</v>
      </c>
      <c r="N24" s="386">
        <f>I50/I24</f>
        <v>2.7083333333333335</v>
      </c>
      <c r="O24" s="1"/>
      <c r="P24" s="1"/>
      <c r="Q24" s="1"/>
      <c r="R24" s="1"/>
      <c r="S24" s="1"/>
      <c r="T24" s="1"/>
      <c r="U24" s="1"/>
      <c r="V24" s="1"/>
      <c r="W24" s="1"/>
      <c r="X24" s="1"/>
    </row>
    <row r="25" spans="1:24" x14ac:dyDescent="0.25">
      <c r="A25" s="1"/>
      <c r="B25" s="1"/>
      <c r="C25" s="387">
        <v>14</v>
      </c>
      <c r="D25" s="388">
        <v>36</v>
      </c>
      <c r="E25" s="389">
        <v>5.24</v>
      </c>
      <c r="F25" s="390">
        <v>6.02</v>
      </c>
      <c r="G25" s="391">
        <v>3.78</v>
      </c>
      <c r="H25" s="389">
        <v>11.33</v>
      </c>
      <c r="I25" s="390">
        <v>4.53</v>
      </c>
      <c r="J25" s="391">
        <v>10.87</v>
      </c>
      <c r="K25" s="376"/>
      <c r="L25" s="385">
        <f t="shared" si="0"/>
        <v>0</v>
      </c>
      <c r="M25" s="144">
        <f>I50/F25</f>
        <v>2.1594684385382061</v>
      </c>
      <c r="N25" s="386">
        <f>I50/I25</f>
        <v>2.869757174392936</v>
      </c>
      <c r="O25" s="1"/>
      <c r="P25" s="1"/>
      <c r="Q25" s="1"/>
      <c r="R25" s="1"/>
      <c r="S25" s="1"/>
      <c r="T25" s="1"/>
      <c r="U25" s="1"/>
      <c r="V25" s="1"/>
      <c r="W25" s="1"/>
      <c r="X25" s="1"/>
    </row>
    <row r="26" spans="1:24" x14ac:dyDescent="0.25">
      <c r="A26" s="1"/>
      <c r="B26" s="1"/>
      <c r="C26" s="380">
        <v>13</v>
      </c>
      <c r="D26" s="381">
        <v>37</v>
      </c>
      <c r="E26" s="382">
        <v>5.18</v>
      </c>
      <c r="F26" s="383">
        <v>5.51</v>
      </c>
      <c r="G26" s="384">
        <v>4.09</v>
      </c>
      <c r="H26" s="382">
        <v>10.96</v>
      </c>
      <c r="I26" s="383">
        <v>4.28</v>
      </c>
      <c r="J26" s="384">
        <v>11.13</v>
      </c>
      <c r="K26" s="376"/>
      <c r="L26" s="385">
        <f t="shared" si="0"/>
        <v>0</v>
      </c>
      <c r="M26" s="144">
        <f>I50/F26</f>
        <v>2.3593466424682394</v>
      </c>
      <c r="N26" s="386">
        <f>I50/I26</f>
        <v>3.0373831775700935</v>
      </c>
      <c r="O26" s="1"/>
      <c r="P26" s="1"/>
      <c r="Q26" s="1"/>
      <c r="R26" s="1"/>
      <c r="S26" s="1"/>
      <c r="T26" s="1"/>
      <c r="U26" s="1"/>
      <c r="V26" s="1"/>
      <c r="W26" s="1"/>
      <c r="X26" s="1"/>
    </row>
    <row r="27" spans="1:24" x14ac:dyDescent="0.25">
      <c r="A27" s="1"/>
      <c r="B27" s="1"/>
      <c r="C27" s="387">
        <v>12</v>
      </c>
      <c r="D27" s="388">
        <v>38</v>
      </c>
      <c r="E27" s="389">
        <v>5.12</v>
      </c>
      <c r="F27" s="390">
        <v>5.17</v>
      </c>
      <c r="G27" s="391">
        <v>4.3</v>
      </c>
      <c r="H27" s="389">
        <v>10.59</v>
      </c>
      <c r="I27" s="390">
        <v>4.04</v>
      </c>
      <c r="J27" s="391">
        <v>11.39</v>
      </c>
      <c r="K27" s="376"/>
      <c r="L27" s="385">
        <f t="shared" si="0"/>
        <v>0</v>
      </c>
      <c r="M27" s="144">
        <f>I50/F27</f>
        <v>2.5145067698259189</v>
      </c>
      <c r="N27" s="386">
        <f>I50/I27</f>
        <v>3.217821782178218</v>
      </c>
      <c r="O27" s="1"/>
      <c r="P27" s="1"/>
      <c r="Q27" s="1"/>
      <c r="R27" s="1"/>
      <c r="S27" s="1"/>
      <c r="T27" s="1"/>
      <c r="U27" s="1"/>
      <c r="V27" s="1"/>
      <c r="W27" s="1"/>
      <c r="X27" s="1"/>
    </row>
    <row r="28" spans="1:24" x14ac:dyDescent="0.25">
      <c r="A28" s="1"/>
      <c r="B28" s="1"/>
      <c r="C28" s="395">
        <v>11</v>
      </c>
      <c r="D28" s="396">
        <v>39</v>
      </c>
      <c r="E28" s="397">
        <v>5.08</v>
      </c>
      <c r="F28" s="398">
        <v>4.75</v>
      </c>
      <c r="G28" s="399">
        <v>4.6500000000000004</v>
      </c>
      <c r="H28" s="397">
        <v>10.4</v>
      </c>
      <c r="I28" s="398">
        <v>3.9</v>
      </c>
      <c r="J28" s="399">
        <v>11.61</v>
      </c>
      <c r="K28" s="376"/>
      <c r="L28" s="385">
        <f t="shared" si="0"/>
        <v>0</v>
      </c>
      <c r="M28" s="144">
        <f>I50/F28</f>
        <v>2.736842105263158</v>
      </c>
      <c r="N28" s="386">
        <f>I50/I28</f>
        <v>3.3333333333333335</v>
      </c>
      <c r="O28" s="1"/>
      <c r="P28" s="1"/>
      <c r="Q28" s="1"/>
      <c r="R28" s="1"/>
      <c r="S28" s="1"/>
      <c r="T28" s="1"/>
      <c r="U28" s="1"/>
      <c r="V28" s="1"/>
      <c r="W28" s="1"/>
      <c r="X28" s="1"/>
    </row>
    <row r="29" spans="1:24" x14ac:dyDescent="0.25">
      <c r="A29" s="1"/>
      <c r="B29" s="1"/>
      <c r="C29" s="387">
        <v>10</v>
      </c>
      <c r="D29" s="388">
        <v>40</v>
      </c>
      <c r="E29" s="389">
        <v>5.03</v>
      </c>
      <c r="F29" s="390">
        <v>4.45</v>
      </c>
      <c r="G29" s="391">
        <v>4.91</v>
      </c>
      <c r="H29" s="389">
        <v>10.210000000000001</v>
      </c>
      <c r="I29" s="390">
        <v>3.75</v>
      </c>
      <c r="J29" s="391">
        <v>11.83</v>
      </c>
      <c r="K29" s="376">
        <v>0.48</v>
      </c>
      <c r="L29" s="385">
        <f t="shared" si="0"/>
        <v>0</v>
      </c>
      <c r="M29" s="144">
        <f>I50/F29</f>
        <v>2.9213483146067416</v>
      </c>
      <c r="N29" s="386">
        <f>I50/I29</f>
        <v>3.4666666666666668</v>
      </c>
      <c r="O29" s="1"/>
      <c r="P29" s="1"/>
      <c r="Q29" s="1"/>
      <c r="R29" s="1"/>
      <c r="S29" s="1"/>
      <c r="T29" s="1"/>
      <c r="U29" s="1"/>
      <c r="V29" s="1"/>
      <c r="W29" s="1"/>
      <c r="X29" s="1"/>
    </row>
    <row r="30" spans="1:24" x14ac:dyDescent="0.25">
      <c r="A30" s="1"/>
      <c r="B30" s="1"/>
      <c r="C30" s="400">
        <v>9</v>
      </c>
      <c r="D30" s="401">
        <v>41</v>
      </c>
      <c r="E30" s="402">
        <v>5</v>
      </c>
      <c r="F30" s="403">
        <v>4.0999999999999996</v>
      </c>
      <c r="G30" s="404">
        <v>5.3</v>
      </c>
      <c r="H30" s="402">
        <v>10.01</v>
      </c>
      <c r="I30" s="403">
        <v>3.63</v>
      </c>
      <c r="J30" s="404">
        <v>12</v>
      </c>
      <c r="K30" s="376">
        <v>0.52</v>
      </c>
      <c r="L30" s="385">
        <f t="shared" si="0"/>
        <v>0</v>
      </c>
      <c r="M30" s="144">
        <f>I50/F30</f>
        <v>3.1707317073170733</v>
      </c>
      <c r="N30" s="386">
        <f>I50/I30</f>
        <v>3.5812672176308542</v>
      </c>
      <c r="O30" s="1"/>
      <c r="P30" s="1"/>
      <c r="Q30" s="1"/>
      <c r="R30" s="1"/>
      <c r="S30" s="1"/>
      <c r="T30" s="1"/>
      <c r="U30" s="1"/>
      <c r="V30" s="1"/>
      <c r="W30" s="1"/>
      <c r="X30" s="1"/>
    </row>
    <row r="31" spans="1:24" x14ac:dyDescent="0.25">
      <c r="A31" s="1"/>
      <c r="B31" s="1"/>
      <c r="C31" s="405">
        <v>8</v>
      </c>
      <c r="D31" s="406">
        <v>42</v>
      </c>
      <c r="E31" s="407">
        <v>4.97</v>
      </c>
      <c r="F31" s="408">
        <v>3.82</v>
      </c>
      <c r="G31" s="409">
        <v>5.65</v>
      </c>
      <c r="H31" s="407">
        <v>9.82</v>
      </c>
      <c r="I31" s="408">
        <v>3.48</v>
      </c>
      <c r="J31" s="409">
        <v>12.26</v>
      </c>
      <c r="K31" s="376">
        <v>0.56000000000000005</v>
      </c>
      <c r="L31" s="385">
        <f t="shared" si="0"/>
        <v>0</v>
      </c>
      <c r="M31" s="144">
        <f>I50/F31</f>
        <v>3.4031413612565444</v>
      </c>
      <c r="N31" s="386">
        <f>I50/I31</f>
        <v>3.735632183908046</v>
      </c>
      <c r="O31" s="1"/>
      <c r="P31" s="1"/>
      <c r="Q31" s="1"/>
      <c r="R31" s="1"/>
      <c r="S31" s="1"/>
      <c r="T31" s="1"/>
      <c r="U31" s="1"/>
      <c r="V31" s="1"/>
      <c r="W31" s="1"/>
      <c r="X31" s="1"/>
    </row>
    <row r="32" spans="1:24" x14ac:dyDescent="0.25">
      <c r="A32" s="1"/>
      <c r="B32" s="1"/>
      <c r="C32" s="410">
        <v>7</v>
      </c>
      <c r="D32" s="411">
        <v>43</v>
      </c>
      <c r="E32" s="412">
        <v>4.95</v>
      </c>
      <c r="F32" s="413">
        <v>3.56</v>
      </c>
      <c r="G32" s="414">
        <v>6.04</v>
      </c>
      <c r="H32" s="412">
        <v>9.64</v>
      </c>
      <c r="I32" s="413">
        <v>3.36</v>
      </c>
      <c r="J32" s="414">
        <v>12.48</v>
      </c>
      <c r="K32" s="376">
        <v>0.59</v>
      </c>
      <c r="L32" s="385">
        <f t="shared" si="0"/>
        <v>0</v>
      </c>
      <c r="M32" s="144">
        <f>I50/F32</f>
        <v>3.6516853932584268</v>
      </c>
      <c r="N32" s="386">
        <f>I50/I32</f>
        <v>3.8690476190476191</v>
      </c>
      <c r="O32" s="1"/>
      <c r="P32" s="1"/>
      <c r="Q32" s="1"/>
      <c r="R32" s="1"/>
      <c r="S32" s="1"/>
      <c r="T32" s="1"/>
      <c r="U32" s="1"/>
      <c r="V32" s="1"/>
      <c r="W32" s="1"/>
      <c r="X32" s="1"/>
    </row>
    <row r="33" spans="1:24" x14ac:dyDescent="0.25">
      <c r="A33" s="1"/>
      <c r="B33" s="1"/>
      <c r="C33" s="415">
        <v>6</v>
      </c>
      <c r="D33" s="388">
        <v>44</v>
      </c>
      <c r="E33" s="389">
        <v>4.92</v>
      </c>
      <c r="F33" s="390">
        <v>3.35</v>
      </c>
      <c r="G33" s="391">
        <v>6.39</v>
      </c>
      <c r="H33" s="389">
        <v>9.3000000000000007</v>
      </c>
      <c r="I33" s="390">
        <v>3.18</v>
      </c>
      <c r="J33" s="391">
        <v>12.7</v>
      </c>
      <c r="K33" s="416">
        <v>0.62</v>
      </c>
      <c r="L33" s="385">
        <f t="shared" si="0"/>
        <v>0</v>
      </c>
      <c r="M33" s="144">
        <f>I50/F33</f>
        <v>3.8805970149253732</v>
      </c>
      <c r="N33" s="386">
        <f>I50/I33</f>
        <v>4.0880503144654083</v>
      </c>
      <c r="O33" s="1"/>
      <c r="P33" s="1"/>
      <c r="Q33" s="1"/>
      <c r="R33" s="1"/>
      <c r="S33" s="1"/>
      <c r="T33" s="1"/>
      <c r="U33" s="1"/>
      <c r="V33" s="1"/>
      <c r="W33" s="1"/>
      <c r="X33" s="1"/>
    </row>
    <row r="34" spans="1:24" x14ac:dyDescent="0.25">
      <c r="A34" s="1"/>
      <c r="B34" s="1"/>
      <c r="C34" s="417">
        <v>5</v>
      </c>
      <c r="D34" s="418">
        <v>45</v>
      </c>
      <c r="E34" s="419">
        <v>4.8899999999999997</v>
      </c>
      <c r="F34" s="420">
        <v>3.13</v>
      </c>
      <c r="G34" s="421">
        <v>6.78</v>
      </c>
      <c r="H34" s="419">
        <v>8.9700000000000006</v>
      </c>
      <c r="I34" s="420">
        <v>3.03</v>
      </c>
      <c r="J34" s="421">
        <v>12.87</v>
      </c>
      <c r="K34" s="376">
        <v>0.66</v>
      </c>
      <c r="L34" s="385">
        <f t="shared" si="0"/>
        <v>0</v>
      </c>
      <c r="M34" s="144">
        <f>I50/F34</f>
        <v>4.1533546325878596</v>
      </c>
      <c r="N34" s="386">
        <f>I50/I34</f>
        <v>4.2904290429042904</v>
      </c>
      <c r="O34" s="1"/>
      <c r="P34" s="1"/>
      <c r="Q34" s="1"/>
      <c r="R34" s="1"/>
      <c r="S34" s="1"/>
      <c r="T34" s="1"/>
      <c r="U34" s="1"/>
      <c r="V34" s="1"/>
      <c r="W34" s="1"/>
      <c r="X34" s="1"/>
    </row>
    <row r="35" spans="1:24" x14ac:dyDescent="0.25">
      <c r="A35" s="1"/>
      <c r="B35" s="1"/>
      <c r="C35" s="387">
        <v>4</v>
      </c>
      <c r="D35" s="388">
        <v>46</v>
      </c>
      <c r="E35" s="389">
        <v>4.84</v>
      </c>
      <c r="F35" s="390">
        <v>2.92</v>
      </c>
      <c r="G35" s="391">
        <v>7.22</v>
      </c>
      <c r="H35" s="389">
        <v>8.61</v>
      </c>
      <c r="I35" s="390">
        <v>2.89</v>
      </c>
      <c r="J35" s="391">
        <v>12.96</v>
      </c>
      <c r="K35" s="376">
        <v>0.69</v>
      </c>
      <c r="L35" s="385">
        <f t="shared" si="0"/>
        <v>0</v>
      </c>
      <c r="M35" s="144">
        <f>I50/F35</f>
        <v>4.4520547945205484</v>
      </c>
      <c r="N35" s="386">
        <f>I50/I35</f>
        <v>4.4982698961937713</v>
      </c>
      <c r="O35" s="1"/>
      <c r="P35" s="1"/>
      <c r="Q35" s="1"/>
      <c r="R35" s="1"/>
      <c r="S35" s="1"/>
      <c r="T35" s="1"/>
      <c r="U35" s="1"/>
      <c r="V35" s="1"/>
      <c r="W35" s="1"/>
      <c r="X35" s="1"/>
    </row>
    <row r="36" spans="1:24" x14ac:dyDescent="0.25">
      <c r="A36" s="1"/>
      <c r="B36" s="1"/>
      <c r="C36" s="380">
        <v>3</v>
      </c>
      <c r="D36" s="381">
        <v>47</v>
      </c>
      <c r="E36" s="382">
        <v>4.78</v>
      </c>
      <c r="F36" s="383">
        <v>2.7</v>
      </c>
      <c r="G36" s="384">
        <v>7.7</v>
      </c>
      <c r="H36" s="382">
        <v>8.2899999999999991</v>
      </c>
      <c r="I36" s="383">
        <v>2.75</v>
      </c>
      <c r="J36" s="384">
        <v>13.09</v>
      </c>
      <c r="K36" s="376">
        <v>0.72</v>
      </c>
      <c r="L36" s="385">
        <f t="shared" si="0"/>
        <v>0</v>
      </c>
      <c r="M36" s="144">
        <f>I50/F36</f>
        <v>4.8148148148148149</v>
      </c>
      <c r="N36" s="386">
        <f>I50/I36</f>
        <v>4.7272727272727275</v>
      </c>
      <c r="O36" s="1"/>
      <c r="P36" s="1"/>
      <c r="Q36" s="1"/>
      <c r="R36" s="1"/>
      <c r="S36" s="1"/>
      <c r="T36" s="1"/>
      <c r="U36" s="1"/>
      <c r="V36" s="1"/>
      <c r="W36" s="1"/>
      <c r="X36" s="1"/>
    </row>
    <row r="37" spans="1:24" x14ac:dyDescent="0.25">
      <c r="A37" s="1"/>
      <c r="B37" s="1"/>
      <c r="C37" s="387">
        <v>2</v>
      </c>
      <c r="D37" s="388">
        <v>48</v>
      </c>
      <c r="E37" s="389">
        <v>4.7300000000000004</v>
      </c>
      <c r="F37" s="390">
        <v>2.5299999999999998</v>
      </c>
      <c r="G37" s="391">
        <v>8.1300000000000008</v>
      </c>
      <c r="H37" s="389">
        <v>7.98</v>
      </c>
      <c r="I37" s="390">
        <v>2.65</v>
      </c>
      <c r="J37" s="391">
        <v>13.09</v>
      </c>
      <c r="K37" s="376">
        <v>0.76</v>
      </c>
      <c r="L37" s="385">
        <f t="shared" si="0"/>
        <v>0</v>
      </c>
      <c r="M37" s="144">
        <f>I50/F37</f>
        <v>5.1383399209486171</v>
      </c>
      <c r="N37" s="386">
        <f>I50/I37</f>
        <v>4.9056603773584904</v>
      </c>
      <c r="O37" s="1"/>
      <c r="P37" s="1"/>
      <c r="Q37" s="1"/>
      <c r="R37" s="1"/>
      <c r="S37" s="1"/>
      <c r="T37" s="1"/>
      <c r="U37" s="1"/>
      <c r="V37" s="1"/>
      <c r="W37" s="1"/>
      <c r="X37" s="1"/>
    </row>
    <row r="38" spans="1:24" x14ac:dyDescent="0.25">
      <c r="A38" s="1"/>
      <c r="B38" s="1"/>
      <c r="C38" s="380">
        <v>1</v>
      </c>
      <c r="D38" s="381">
        <v>49</v>
      </c>
      <c r="E38" s="382">
        <v>4.67</v>
      </c>
      <c r="F38" s="383">
        <v>2.36</v>
      </c>
      <c r="G38" s="384">
        <v>8.61</v>
      </c>
      <c r="H38" s="382">
        <v>7.78</v>
      </c>
      <c r="I38" s="383">
        <v>2.5299999999999998</v>
      </c>
      <c r="J38" s="384">
        <v>13.39</v>
      </c>
      <c r="K38" s="376">
        <v>0.8</v>
      </c>
      <c r="L38" s="385">
        <f t="shared" si="0"/>
        <v>0</v>
      </c>
      <c r="M38" s="144">
        <f>I50/F38</f>
        <v>5.5084745762711869</v>
      </c>
      <c r="N38" s="386">
        <f>I50/I38</f>
        <v>5.1383399209486171</v>
      </c>
      <c r="O38" s="1"/>
      <c r="P38" s="1"/>
      <c r="Q38" s="1"/>
      <c r="R38" s="1"/>
      <c r="S38" s="1"/>
      <c r="T38" s="1"/>
      <c r="U38" s="1"/>
      <c r="V38" s="1"/>
      <c r="W38" s="1"/>
      <c r="X38" s="1"/>
    </row>
    <row r="39" spans="1:24" x14ac:dyDescent="0.25">
      <c r="A39" s="1"/>
      <c r="B39" s="1"/>
      <c r="C39" s="387">
        <v>0</v>
      </c>
      <c r="D39" s="388">
        <v>50</v>
      </c>
      <c r="E39" s="389">
        <v>4.62</v>
      </c>
      <c r="F39" s="390">
        <v>2.2200000000000002</v>
      </c>
      <c r="G39" s="391">
        <v>9.0399999999999991</v>
      </c>
      <c r="H39" s="389">
        <v>7.54</v>
      </c>
      <c r="I39" s="390">
        <v>2.42</v>
      </c>
      <c r="J39" s="391">
        <v>13.52</v>
      </c>
      <c r="K39" s="376">
        <v>0.83</v>
      </c>
      <c r="L39" s="385">
        <f t="shared" si="0"/>
        <v>0</v>
      </c>
      <c r="M39" s="144">
        <f>I50/F39</f>
        <v>5.8558558558558556</v>
      </c>
      <c r="N39" s="386">
        <f>I50/I39</f>
        <v>5.3719008264462813</v>
      </c>
      <c r="O39" s="1"/>
      <c r="P39" s="1"/>
      <c r="Q39" s="1"/>
      <c r="R39" s="1"/>
      <c r="S39" s="1"/>
      <c r="T39" s="1"/>
      <c r="U39" s="1"/>
      <c r="V39" s="1"/>
      <c r="W39" s="1"/>
      <c r="X39" s="1"/>
    </row>
    <row r="40" spans="1:24" x14ac:dyDescent="0.25">
      <c r="A40" s="1"/>
      <c r="B40" s="1"/>
      <c r="C40" s="380">
        <v>-1</v>
      </c>
      <c r="D40" s="381">
        <v>51</v>
      </c>
      <c r="E40" s="382">
        <v>4.53</v>
      </c>
      <c r="F40" s="383">
        <v>2.11</v>
      </c>
      <c r="G40" s="384">
        <v>9.35</v>
      </c>
      <c r="H40" s="382">
        <v>7.23</v>
      </c>
      <c r="I40" s="383">
        <v>2.2999999999999998</v>
      </c>
      <c r="J40" s="384">
        <v>13.65</v>
      </c>
      <c r="K40" s="376">
        <v>0.87</v>
      </c>
      <c r="L40" s="385">
        <f t="shared" si="0"/>
        <v>0</v>
      </c>
      <c r="M40" s="144">
        <f>I50/F40</f>
        <v>6.1611374407582939</v>
      </c>
      <c r="N40" s="386">
        <f>I50/I40</f>
        <v>5.6521739130434785</v>
      </c>
      <c r="O40" s="1"/>
      <c r="P40" s="1"/>
      <c r="Q40" s="1"/>
      <c r="R40" s="1"/>
      <c r="S40" s="1"/>
      <c r="T40" s="1"/>
      <c r="U40" s="1"/>
      <c r="V40" s="1"/>
      <c r="W40" s="1"/>
      <c r="X40" s="1"/>
    </row>
    <row r="41" spans="1:24" x14ac:dyDescent="0.25">
      <c r="A41" s="1"/>
      <c r="B41" s="1"/>
      <c r="C41" s="387">
        <v>-2</v>
      </c>
      <c r="D41" s="388">
        <v>52</v>
      </c>
      <c r="E41" s="389">
        <v>4.4400000000000004</v>
      </c>
      <c r="F41" s="390">
        <v>2.0099999999999998</v>
      </c>
      <c r="G41" s="391">
        <v>9.61</v>
      </c>
      <c r="H41" s="389">
        <v>6.94</v>
      </c>
      <c r="I41" s="390">
        <v>2.1800000000000002</v>
      </c>
      <c r="J41" s="391">
        <v>13.83</v>
      </c>
      <c r="K41" s="376">
        <v>0.9</v>
      </c>
      <c r="L41" s="385">
        <f t="shared" si="0"/>
        <v>0</v>
      </c>
      <c r="M41" s="144">
        <f>I50/F41</f>
        <v>6.4676616915422889</v>
      </c>
      <c r="N41" s="386">
        <f>I50/I41</f>
        <v>5.9633027522935773</v>
      </c>
      <c r="O41" s="1"/>
      <c r="P41" s="1"/>
      <c r="Q41" s="1"/>
      <c r="R41" s="1"/>
      <c r="S41" s="1"/>
      <c r="T41" s="1"/>
      <c r="U41" s="1"/>
      <c r="V41" s="1"/>
      <c r="W41" s="1"/>
      <c r="X41" s="1"/>
    </row>
    <row r="42" spans="1:24" x14ac:dyDescent="0.25">
      <c r="A42" s="1"/>
      <c r="B42" s="1"/>
      <c r="C42" s="380">
        <v>-3</v>
      </c>
      <c r="D42" s="381">
        <v>53</v>
      </c>
      <c r="E42" s="382">
        <v>4.34</v>
      </c>
      <c r="F42" s="383">
        <v>1.9</v>
      </c>
      <c r="G42" s="384">
        <v>9.91</v>
      </c>
      <c r="H42" s="382">
        <v>6.69</v>
      </c>
      <c r="I42" s="383">
        <v>2.08</v>
      </c>
      <c r="J42" s="384">
        <v>13.96</v>
      </c>
      <c r="K42" s="376">
        <v>0.93</v>
      </c>
      <c r="L42" s="385">
        <f t="shared" si="0"/>
        <v>0</v>
      </c>
      <c r="M42" s="144">
        <f>I50/F42</f>
        <v>6.8421052631578947</v>
      </c>
      <c r="N42" s="386">
        <f>I50/I42</f>
        <v>6.25</v>
      </c>
      <c r="O42" s="1"/>
      <c r="P42" s="1"/>
      <c r="Q42" s="1"/>
      <c r="R42" s="1"/>
      <c r="S42" s="1"/>
      <c r="T42" s="1"/>
      <c r="U42" s="1"/>
      <c r="V42" s="1"/>
      <c r="W42" s="1"/>
      <c r="X42" s="1"/>
    </row>
    <row r="43" spans="1:24" x14ac:dyDescent="0.25">
      <c r="A43" s="1"/>
      <c r="B43" s="1"/>
      <c r="C43" s="387">
        <v>-4</v>
      </c>
      <c r="D43" s="388">
        <v>54</v>
      </c>
      <c r="E43" s="389">
        <v>4.25</v>
      </c>
      <c r="F43" s="390">
        <v>1.82</v>
      </c>
      <c r="G43" s="391">
        <v>10.17</v>
      </c>
      <c r="H43" s="389">
        <v>6.45</v>
      </c>
      <c r="I43" s="390">
        <v>1.99</v>
      </c>
      <c r="J43" s="391">
        <v>14.09</v>
      </c>
      <c r="K43" s="376">
        <v>0.96</v>
      </c>
      <c r="L43" s="385">
        <f t="shared" si="0"/>
        <v>0</v>
      </c>
      <c r="M43" s="144">
        <f>I50/F43</f>
        <v>7.1428571428571423</v>
      </c>
      <c r="N43" s="386">
        <f>I50/I43</f>
        <v>6.5326633165829149</v>
      </c>
      <c r="O43" s="1"/>
      <c r="P43" s="1"/>
      <c r="Q43" s="1"/>
      <c r="R43" s="1"/>
      <c r="S43" s="1"/>
      <c r="T43" s="1"/>
      <c r="U43" s="1"/>
      <c r="V43" s="1"/>
      <c r="W43" s="1"/>
      <c r="X43" s="1"/>
    </row>
    <row r="44" spans="1:24" ht="15.75" thickBot="1" x14ac:dyDescent="0.3">
      <c r="A44" s="1"/>
      <c r="B44" s="1"/>
      <c r="C44" s="422">
        <v>-5</v>
      </c>
      <c r="D44" s="423">
        <v>55</v>
      </c>
      <c r="E44" s="424">
        <v>4.16</v>
      </c>
      <c r="F44" s="425">
        <v>1.73</v>
      </c>
      <c r="G44" s="426">
        <v>10.48</v>
      </c>
      <c r="H44" s="424">
        <v>6.21</v>
      </c>
      <c r="I44" s="425">
        <v>1.9</v>
      </c>
      <c r="J44" s="426">
        <v>14.22</v>
      </c>
      <c r="K44" s="376">
        <v>1</v>
      </c>
      <c r="L44" s="427">
        <f t="shared" si="0"/>
        <v>0</v>
      </c>
      <c r="M44" s="428">
        <f>I50/F44</f>
        <v>7.5144508670520231</v>
      </c>
      <c r="N44" s="429">
        <f>I50/I44</f>
        <v>6.8421052631578947</v>
      </c>
      <c r="O44" s="1"/>
      <c r="P44" s="1"/>
      <c r="Q44" s="1"/>
      <c r="R44" s="1"/>
      <c r="S44" s="1"/>
      <c r="T44" s="1"/>
      <c r="U44" s="1"/>
      <c r="V44" s="1"/>
      <c r="W44" s="1"/>
      <c r="X44" s="1"/>
    </row>
    <row r="45" spans="1:24" x14ac:dyDescent="0.25">
      <c r="A45" s="1"/>
      <c r="B45" s="1"/>
      <c r="K45" s="430"/>
      <c r="O45" s="1"/>
      <c r="P45" s="1"/>
      <c r="Q45" s="1"/>
      <c r="R45" s="1"/>
      <c r="S45" s="1"/>
      <c r="T45" s="1"/>
      <c r="U45" s="1"/>
      <c r="V45" s="1"/>
      <c r="W45" s="1"/>
      <c r="X45" s="1"/>
    </row>
    <row r="46" spans="1:24" x14ac:dyDescent="0.25">
      <c r="A46" s="1"/>
      <c r="B46" s="1"/>
      <c r="K46" s="430"/>
      <c r="O46" s="1"/>
      <c r="P46" s="1"/>
      <c r="Q46" s="1"/>
      <c r="R46" s="1"/>
      <c r="S46" s="1"/>
      <c r="T46" s="1"/>
      <c r="U46" s="1"/>
      <c r="V46" s="1"/>
      <c r="W46" s="1"/>
      <c r="X46" s="1"/>
    </row>
    <row r="47" spans="1:24" x14ac:dyDescent="0.25">
      <c r="A47" s="1"/>
      <c r="B47" s="1"/>
      <c r="E47" s="431"/>
      <c r="F47" t="s">
        <v>399</v>
      </c>
      <c r="O47" s="1"/>
      <c r="P47" s="1"/>
      <c r="Q47" s="1"/>
      <c r="R47" s="1"/>
      <c r="S47" s="1"/>
      <c r="T47" s="1"/>
      <c r="U47" s="1"/>
      <c r="V47" s="1"/>
      <c r="W47" s="1"/>
      <c r="X47" s="1"/>
    </row>
    <row r="48" spans="1:24" x14ac:dyDescent="0.25">
      <c r="A48" s="1"/>
      <c r="B48" s="1"/>
      <c r="E48" s="432"/>
      <c r="F48" t="s">
        <v>400</v>
      </c>
      <c r="O48" s="1"/>
      <c r="P48" s="1"/>
      <c r="Q48" s="1"/>
      <c r="R48" s="1"/>
      <c r="S48" s="1"/>
      <c r="T48" s="1"/>
      <c r="U48" s="1"/>
      <c r="V48" s="1"/>
      <c r="W48" s="1"/>
      <c r="X48" s="1"/>
    </row>
    <row r="49" spans="1:24" x14ac:dyDescent="0.25">
      <c r="A49" s="1"/>
      <c r="B49" s="1"/>
      <c r="O49" s="1"/>
      <c r="P49" s="1"/>
      <c r="Q49" s="1"/>
      <c r="R49" s="1"/>
      <c r="S49" s="1"/>
      <c r="T49" s="1"/>
      <c r="U49" s="1"/>
      <c r="V49" s="1"/>
      <c r="W49" s="1"/>
      <c r="X49" s="1"/>
    </row>
    <row r="50" spans="1:24" x14ac:dyDescent="0.25">
      <c r="A50" s="1"/>
      <c r="B50" s="1"/>
      <c r="E50" t="s">
        <v>401</v>
      </c>
      <c r="I50">
        <v>13</v>
      </c>
      <c r="O50" s="1"/>
      <c r="P50" s="1"/>
      <c r="Q50" s="1"/>
      <c r="R50" s="1"/>
      <c r="S50" s="1"/>
      <c r="T50" s="1"/>
      <c r="U50" s="1"/>
      <c r="V50" s="1"/>
      <c r="W50" s="1"/>
      <c r="X50" s="1"/>
    </row>
    <row r="51" spans="1:24" x14ac:dyDescent="0.25">
      <c r="A51" s="1"/>
      <c r="B51" s="1"/>
      <c r="E51" t="s">
        <v>402</v>
      </c>
      <c r="I51">
        <v>3</v>
      </c>
      <c r="O51" s="1"/>
      <c r="P51" s="1"/>
      <c r="Q51" s="1"/>
      <c r="R51" s="1"/>
      <c r="S51" s="1"/>
      <c r="T51" s="1"/>
      <c r="U51" s="1"/>
      <c r="V51" s="1"/>
      <c r="W51" s="1"/>
      <c r="X51" s="1"/>
    </row>
    <row r="52" spans="1:24"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x14ac:dyDescent="0.25">
      <c r="A62" s="1"/>
      <c r="B62" s="1"/>
      <c r="C62" s="1"/>
      <c r="D62" s="1"/>
      <c r="E62" s="1"/>
      <c r="F62" s="1"/>
      <c r="G62" s="1"/>
      <c r="H62" s="1"/>
      <c r="I62" s="1"/>
      <c r="J62" s="1"/>
      <c r="K62" s="1"/>
      <c r="L62" s="1"/>
      <c r="M62" s="1"/>
      <c r="N62" s="1"/>
      <c r="O62" s="1"/>
      <c r="P62" s="1"/>
      <c r="Q62" s="1"/>
      <c r="R62" s="1"/>
      <c r="S62" s="1"/>
      <c r="T62" s="1"/>
      <c r="U62" s="1"/>
      <c r="V62" s="1"/>
      <c r="W62" s="1"/>
      <c r="X62" s="1"/>
    </row>
  </sheetData>
  <mergeCells count="6">
    <mergeCell ref="C16:J16"/>
    <mergeCell ref="K16:K18"/>
    <mergeCell ref="C17:C18"/>
    <mergeCell ref="D17:D18"/>
    <mergeCell ref="E17:G17"/>
    <mergeCell ref="H17:J17"/>
  </mergeCells>
  <pageMargins left="0.7" right="0.7" top="0.75" bottom="0.75" header="0.3" footer="0.3"/>
  <pageSetup paperSize="9" orientation="portrait" r:id="rId1"/>
  <headerFooter>
    <oddFooter>&amp;C&amp;1#&amp;"Calibri"&amp;12&amp;K008000Internal Use</oddFooter>
  </headerFooter>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9FB8-0D6A-412D-893F-61084A95BBDD}">
  <sheetPr>
    <tabColor theme="9" tint="-0.249977111117893"/>
  </sheetPr>
  <dimension ref="B1:T64"/>
  <sheetViews>
    <sheetView topLeftCell="E1" workbookViewId="0">
      <selection activeCell="BJ24" sqref="BJ24"/>
    </sheetView>
  </sheetViews>
  <sheetFormatPr defaultRowHeight="15" x14ac:dyDescent="0.25"/>
  <cols>
    <col min="2" max="2" width="64.5703125" customWidth="1"/>
    <col min="3" max="3" width="16.5703125" customWidth="1"/>
    <col min="9" max="9" width="8.28515625" customWidth="1"/>
    <col min="10" max="10" width="34.5703125" customWidth="1"/>
    <col min="16" max="19" width="9.28515625" bestFit="1" customWidth="1"/>
    <col min="20" max="20" width="10.140625" bestFit="1" customWidth="1"/>
  </cols>
  <sheetData>
    <row r="1" spans="2:11" x14ac:dyDescent="0.25">
      <c r="G1" s="478" t="s">
        <v>79</v>
      </c>
      <c r="H1" s="479"/>
    </row>
    <row r="2" spans="2:11" x14ac:dyDescent="0.25">
      <c r="B2" s="45" t="s">
        <v>81</v>
      </c>
      <c r="C2" s="47" t="s">
        <v>76</v>
      </c>
      <c r="D2" s="47" t="s">
        <v>77</v>
      </c>
      <c r="G2" s="44" t="s">
        <v>9</v>
      </c>
      <c r="H2" s="44" t="s">
        <v>64</v>
      </c>
      <c r="I2" s="44" t="s">
        <v>65</v>
      </c>
      <c r="J2" s="44" t="s">
        <v>66</v>
      </c>
      <c r="K2" s="44" t="s">
        <v>67</v>
      </c>
    </row>
    <row r="3" spans="2:11" x14ac:dyDescent="0.25">
      <c r="B3" s="39" t="s">
        <v>21</v>
      </c>
      <c r="C3" s="43">
        <v>0.16500000000000001</v>
      </c>
      <c r="D3" s="43">
        <v>3.8620000000000001</v>
      </c>
      <c r="G3" s="25">
        <v>0.9</v>
      </c>
      <c r="H3" s="25">
        <v>0.7</v>
      </c>
      <c r="I3" s="25">
        <v>0.08</v>
      </c>
      <c r="J3" s="25">
        <v>0.5</v>
      </c>
      <c r="K3" s="25">
        <v>1.93</v>
      </c>
    </row>
    <row r="4" spans="2:11" x14ac:dyDescent="0.25">
      <c r="B4" s="39" t="s">
        <v>16</v>
      </c>
      <c r="C4" s="43">
        <v>0.15</v>
      </c>
      <c r="D4" s="43">
        <v>7</v>
      </c>
    </row>
    <row r="5" spans="2:11" x14ac:dyDescent="0.25">
      <c r="B5" s="39" t="s">
        <v>17</v>
      </c>
      <c r="C5" s="43">
        <f>0.15</f>
        <v>0.15</v>
      </c>
      <c r="D5" s="43">
        <v>10</v>
      </c>
      <c r="G5" s="476" t="s">
        <v>80</v>
      </c>
      <c r="H5" s="476"/>
    </row>
    <row r="6" spans="2:11" x14ac:dyDescent="0.25">
      <c r="B6" s="39" t="s">
        <v>24</v>
      </c>
      <c r="C6" s="43">
        <v>0.23599999999999999</v>
      </c>
      <c r="D6" s="43">
        <v>6.7229999999999999</v>
      </c>
      <c r="G6" s="480" t="s">
        <v>68</v>
      </c>
      <c r="H6" s="481"/>
      <c r="I6" s="46" t="s">
        <v>78</v>
      </c>
    </row>
    <row r="7" spans="2:11" x14ac:dyDescent="0.25">
      <c r="B7" s="39" t="s">
        <v>20</v>
      </c>
      <c r="C7" s="43">
        <v>0.19400000000000001</v>
      </c>
      <c r="D7" s="43">
        <v>12.867000000000001</v>
      </c>
      <c r="G7" s="482">
        <v>3.68</v>
      </c>
      <c r="H7" s="483"/>
      <c r="I7" s="24">
        <v>7.36</v>
      </c>
    </row>
    <row r="8" spans="2:11" x14ac:dyDescent="0.25">
      <c r="B8" s="40" t="s">
        <v>39</v>
      </c>
      <c r="C8" s="43">
        <v>0.16400000000000001</v>
      </c>
      <c r="D8" s="43">
        <v>1.67</v>
      </c>
    </row>
    <row r="9" spans="2:11" x14ac:dyDescent="0.25">
      <c r="B9" s="40" t="s">
        <v>34</v>
      </c>
      <c r="C9" s="43">
        <v>7.8E-2</v>
      </c>
      <c r="D9" s="43">
        <v>4.92</v>
      </c>
      <c r="G9" s="478" t="s">
        <v>72</v>
      </c>
      <c r="H9" s="479"/>
    </row>
    <row r="10" spans="2:11" x14ac:dyDescent="0.25">
      <c r="B10" s="40" t="s">
        <v>35</v>
      </c>
      <c r="C10" s="43">
        <v>7.8E-2</v>
      </c>
      <c r="D10" s="43">
        <v>7.04</v>
      </c>
      <c r="G10" s="49">
        <f>AVERAGE(P22:T36)</f>
        <v>0.15705339241033608</v>
      </c>
      <c r="H10" s="50" t="s">
        <v>73</v>
      </c>
    </row>
    <row r="11" spans="2:11" x14ac:dyDescent="0.25">
      <c r="B11" s="40" t="s">
        <v>36</v>
      </c>
      <c r="C11" s="43">
        <v>0.16400000000000001</v>
      </c>
      <c r="D11" s="43">
        <v>4.7300000000000004</v>
      </c>
      <c r="G11" s="49">
        <f>AVERAGE(P22:S36)</f>
        <v>0.14458744426496384</v>
      </c>
      <c r="H11" s="50" t="s">
        <v>74</v>
      </c>
    </row>
    <row r="12" spans="2:11" x14ac:dyDescent="0.25">
      <c r="B12" s="40" t="s">
        <v>58</v>
      </c>
      <c r="C12" s="43">
        <v>0.123</v>
      </c>
      <c r="D12" s="43">
        <v>9.0500000000000007</v>
      </c>
    </row>
    <row r="13" spans="2:11" x14ac:dyDescent="0.25">
      <c r="B13" s="41" t="s">
        <v>28</v>
      </c>
      <c r="C13" s="43">
        <v>0.16700000000000001</v>
      </c>
      <c r="D13" s="43">
        <v>1.23</v>
      </c>
    </row>
    <row r="14" spans="2:11" x14ac:dyDescent="0.25">
      <c r="B14" s="41" t="s">
        <v>25</v>
      </c>
      <c r="C14" s="43">
        <v>8.1000000000000003E-2</v>
      </c>
      <c r="D14" s="43">
        <v>3.633</v>
      </c>
    </row>
    <row r="15" spans="2:11" x14ac:dyDescent="0.25">
      <c r="B15" s="41" t="s">
        <v>26</v>
      </c>
      <c r="C15" s="43">
        <v>8.1000000000000003E-2</v>
      </c>
      <c r="D15" s="43">
        <v>5.194</v>
      </c>
    </row>
    <row r="16" spans="2:11" x14ac:dyDescent="0.25">
      <c r="B16" s="41" t="s">
        <v>27</v>
      </c>
      <c r="C16" s="43">
        <v>0.16700000000000001</v>
      </c>
      <c r="D16" s="43">
        <v>3.4910000000000001</v>
      </c>
    </row>
    <row r="17" spans="2:20" x14ac:dyDescent="0.25">
      <c r="B17" s="41" t="s">
        <v>57</v>
      </c>
      <c r="C17" s="43">
        <v>0.125</v>
      </c>
      <c r="D17" s="43">
        <v>6.6779999999999999</v>
      </c>
    </row>
    <row r="18" spans="2:20" x14ac:dyDescent="0.25">
      <c r="B18" s="42" t="s">
        <v>1</v>
      </c>
      <c r="C18" s="48">
        <v>0.14153333333333334</v>
      </c>
      <c r="D18" s="43">
        <f>AVERAGE(D3:D17)</f>
        <v>5.8725333333333332</v>
      </c>
    </row>
    <row r="20" spans="2:20" x14ac:dyDescent="0.25">
      <c r="C20" s="168" t="s">
        <v>69</v>
      </c>
      <c r="J20" s="476" t="s">
        <v>70</v>
      </c>
      <c r="K20" s="476"/>
      <c r="P20" s="476" t="s">
        <v>71</v>
      </c>
      <c r="Q20" s="476"/>
    </row>
    <row r="21" spans="2:20" x14ac:dyDescent="0.25">
      <c r="B21" s="170" t="s">
        <v>221</v>
      </c>
      <c r="C21" s="33">
        <v>100</v>
      </c>
      <c r="D21" s="34">
        <v>75</v>
      </c>
      <c r="E21" s="33">
        <v>50</v>
      </c>
      <c r="F21" s="33">
        <v>25</v>
      </c>
      <c r="G21" s="33">
        <v>1</v>
      </c>
      <c r="J21" s="33">
        <v>100</v>
      </c>
      <c r="K21" s="34">
        <v>75</v>
      </c>
      <c r="L21" s="33">
        <v>50</v>
      </c>
      <c r="M21" s="33">
        <v>25</v>
      </c>
      <c r="N21" s="33">
        <v>1</v>
      </c>
      <c r="P21" s="33">
        <v>100</v>
      </c>
      <c r="Q21" s="34">
        <v>75</v>
      </c>
      <c r="R21" s="33">
        <v>50</v>
      </c>
      <c r="S21" s="33">
        <v>25</v>
      </c>
      <c r="T21" s="33">
        <v>1</v>
      </c>
    </row>
    <row r="22" spans="2:20" x14ac:dyDescent="0.25">
      <c r="B22" s="30" t="s">
        <v>21</v>
      </c>
      <c r="C22" s="29">
        <v>2.0659999999999998</v>
      </c>
      <c r="D22" s="35">
        <v>1.9930000000000001</v>
      </c>
      <c r="E22" s="29">
        <v>1.929</v>
      </c>
      <c r="F22" s="29">
        <v>1.7989999999999999</v>
      </c>
      <c r="G22" s="29">
        <v>4.1130000000000004</v>
      </c>
      <c r="J22" s="29">
        <f>K3</f>
        <v>1.93</v>
      </c>
      <c r="K22" s="29">
        <v>1.93</v>
      </c>
      <c r="L22" s="29">
        <v>1.93</v>
      </c>
      <c r="M22" s="29">
        <v>1.93</v>
      </c>
      <c r="N22" s="29">
        <v>1.93</v>
      </c>
      <c r="P22" s="36">
        <f t="shared" ref="P22:T31" si="0">ABS(1-(J22/C22))</f>
        <v>6.5827686350435566E-2</v>
      </c>
      <c r="Q22" s="36">
        <f t="shared" si="0"/>
        <v>3.1610637230306105E-2</v>
      </c>
      <c r="R22" s="36">
        <f t="shared" si="0"/>
        <v>5.1840331778119086E-4</v>
      </c>
      <c r="S22" s="36">
        <f t="shared" si="0"/>
        <v>7.2818232351306245E-2</v>
      </c>
      <c r="T22" s="36">
        <f t="shared" si="0"/>
        <v>0.53075613907123764</v>
      </c>
    </row>
    <row r="23" spans="2:20" x14ac:dyDescent="0.25">
      <c r="B23" s="30" t="s">
        <v>16</v>
      </c>
      <c r="C23" s="29">
        <v>3.7320000000000002</v>
      </c>
      <c r="D23" s="35">
        <v>3.7570000000000001</v>
      </c>
      <c r="E23" s="29">
        <v>3.802</v>
      </c>
      <c r="F23" s="29">
        <v>3.9430000000000001</v>
      </c>
      <c r="G23" s="29">
        <v>7.21</v>
      </c>
      <c r="J23" s="29">
        <f>($J$22+($G$3*$G$7))*(J21^-$C$18)</f>
        <v>2.7316833145412467</v>
      </c>
      <c r="K23" s="29">
        <f>($J$22+($G$3*$G$7))*(K21^-$C$18)</f>
        <v>2.8452035755313778</v>
      </c>
      <c r="L23" s="29">
        <f>($J$22+($G$3*$G$7))*(L21^-$C$18)</f>
        <v>3.0132566845408539</v>
      </c>
      <c r="M23" s="29">
        <f>($J$22+($G$3*$G$7))*(M21^-$C$18)</f>
        <v>3.323853756618552</v>
      </c>
      <c r="N23" s="29">
        <f>($J$22+($G$3*$G$7))*(N21^-$C$18)</f>
        <v>5.242</v>
      </c>
      <c r="P23" s="36">
        <f t="shared" si="0"/>
        <v>0.26803769706826186</v>
      </c>
      <c r="Q23" s="36">
        <f t="shared" si="0"/>
        <v>0.24269268684285927</v>
      </c>
      <c r="R23" s="36">
        <f t="shared" si="0"/>
        <v>0.20745484362418365</v>
      </c>
      <c r="S23" s="36">
        <f t="shared" si="0"/>
        <v>0.15702415505489431</v>
      </c>
      <c r="T23" s="36">
        <f t="shared" si="0"/>
        <v>0.27295423023578358</v>
      </c>
    </row>
    <row r="24" spans="2:20" x14ac:dyDescent="0.25">
      <c r="B24" s="30" t="s">
        <v>17</v>
      </c>
      <c r="C24" s="29">
        <v>5.3350518723994442</v>
      </c>
      <c r="D24" s="35">
        <v>5.3707904299583902</v>
      </c>
      <c r="E24" s="29">
        <v>5.4351198335644924</v>
      </c>
      <c r="F24" s="29">
        <v>5.636685298196948</v>
      </c>
      <c r="G24" s="29">
        <v>10.306999999999999</v>
      </c>
      <c r="J24" s="29">
        <f>($J$22+($G$3*$I$7))*(J21^-$C$18)</f>
        <v>4.4576152370442248</v>
      </c>
      <c r="K24" s="29">
        <f>($J$22+($G$3*$I$7))*(K21^-$C$18)</f>
        <v>4.6428598598045419</v>
      </c>
      <c r="L24" s="29">
        <f>($J$22+($G$3*$I$7))*(L21^-$C$18)</f>
        <v>4.9170922700424393</v>
      </c>
      <c r="M24" s="29">
        <f>($J$22+($G$3*$I$7))*(M21^-$C$18)</f>
        <v>5.4239307581295488</v>
      </c>
      <c r="N24" s="29">
        <f>($J$22+($G$3*$I$7))*(N21^-$C$18)</f>
        <v>8.5540000000000003</v>
      </c>
      <c r="P24" s="36">
        <f t="shared" si="0"/>
        <v>0.16446637377502982</v>
      </c>
      <c r="Q24" s="36">
        <f t="shared" si="0"/>
        <v>0.13553509109077044</v>
      </c>
      <c r="R24" s="36">
        <f t="shared" si="0"/>
        <v>9.5311157690209924E-2</v>
      </c>
      <c r="S24" s="36">
        <f t="shared" si="0"/>
        <v>3.7744619188773032E-2</v>
      </c>
      <c r="T24" s="36">
        <f t="shared" si="0"/>
        <v>0.17007858736780812</v>
      </c>
    </row>
    <row r="25" spans="2:20" x14ac:dyDescent="0.25">
      <c r="B25" s="30" t="s">
        <v>24</v>
      </c>
      <c r="C25" s="29">
        <v>2.3363999999999998</v>
      </c>
      <c r="D25" s="35">
        <v>2.4166400000000001</v>
      </c>
      <c r="E25" s="29">
        <v>2.6042599999999996</v>
      </c>
      <c r="F25" s="29">
        <v>3.13998</v>
      </c>
      <c r="G25" s="29">
        <v>6.7590399999999997</v>
      </c>
      <c r="J25" s="29">
        <f>($J$22+($G$7*$H$3))*(J21^-$C$18)</f>
        <v>2.348142887318363</v>
      </c>
      <c r="K25" s="29">
        <f>($J$22+($G$7*$H$3))*(K21^-$C$18)</f>
        <v>2.4457244012484529</v>
      </c>
      <c r="L25" s="29">
        <f>($J$22+($G$7*$H$3))*(L21^-$C$18)</f>
        <v>2.5901821099849465</v>
      </c>
      <c r="M25" s="29">
        <f>($J$22+($G$7*$H$3))*(M21^-$C$18)</f>
        <v>2.8571699785049973</v>
      </c>
      <c r="N25" s="29">
        <f>($J$22+($G$7*$H$3))*(N21^-$C$18)</f>
        <v>4.5060000000000002</v>
      </c>
      <c r="P25" s="36">
        <f t="shared" si="0"/>
        <v>5.0260603143139626E-3</v>
      </c>
      <c r="Q25" s="36">
        <f t="shared" si="0"/>
        <v>1.2035057455166198E-2</v>
      </c>
      <c r="R25" s="36">
        <f t="shared" si="0"/>
        <v>5.4057160249180169E-3</v>
      </c>
      <c r="S25" s="36">
        <f t="shared" si="0"/>
        <v>9.0067459504519998E-2</v>
      </c>
      <c r="T25" s="36">
        <f t="shared" si="0"/>
        <v>0.33333727866679286</v>
      </c>
    </row>
    <row r="26" spans="2:20" x14ac:dyDescent="0.25">
      <c r="B26" s="30" t="s">
        <v>20</v>
      </c>
      <c r="C26" s="29">
        <v>5.4989414159353798</v>
      </c>
      <c r="D26" s="35">
        <v>5.6117858948117112</v>
      </c>
      <c r="E26" s="29">
        <v>5.8632341968840578</v>
      </c>
      <c r="F26" s="29">
        <v>6.5750157356313963</v>
      </c>
      <c r="G26" s="29">
        <v>13.088000000000001</v>
      </c>
      <c r="J26" s="29">
        <f>($J$22+($G$3*$I$7)+($G$7*$H$3))*(J21^-$C$18)</f>
        <v>5.8000067323243183</v>
      </c>
      <c r="K26" s="29">
        <f>($J$22+($G$3*$I$7)+($G$7*$H$3))*(K21^-$C$18)</f>
        <v>6.0410369697947806</v>
      </c>
      <c r="L26" s="29">
        <f>($J$22+($G$3*$I$7)+($G$7*$H$3))*(L21^-$C$18)</f>
        <v>6.3978532809881168</v>
      </c>
      <c r="M26" s="29">
        <f>($J$22+($G$3*$I$7)+($G$7*$H$3))*(M21^-$C$18)</f>
        <v>7.0573239815269915</v>
      </c>
      <c r="N26" s="29">
        <f>($J$22+($G$3*$I$7)+($G$7*$H$3))*(N21^-$C$18)</f>
        <v>11.13</v>
      </c>
      <c r="P26" s="36">
        <f t="shared" si="0"/>
        <v>5.4749686097124384E-2</v>
      </c>
      <c r="Q26" s="36">
        <f t="shared" si="0"/>
        <v>7.6490992890503318E-2</v>
      </c>
      <c r="R26" s="36">
        <f t="shared" si="0"/>
        <v>9.1181601510677446E-2</v>
      </c>
      <c r="S26" s="36">
        <f t="shared" si="0"/>
        <v>7.3354690739653394E-2</v>
      </c>
      <c r="T26" s="36">
        <f t="shared" si="0"/>
        <v>0.14960268948655253</v>
      </c>
    </row>
    <row r="27" spans="2:20" x14ac:dyDescent="0.25">
      <c r="B27" s="31" t="s">
        <v>39</v>
      </c>
      <c r="C27" s="29">
        <v>0.90093264248704663</v>
      </c>
      <c r="D27" s="35">
        <v>0.86611398963730579</v>
      </c>
      <c r="E27" s="29">
        <v>0.84</v>
      </c>
      <c r="F27" s="29">
        <v>0.78341968911917104</v>
      </c>
      <c r="G27" s="29">
        <v>1.7888082901554403</v>
      </c>
      <c r="J27" s="29">
        <f>($J$22-($I$3*$G$7))*(J21^-$C$18)</f>
        <v>0.85233522114911542</v>
      </c>
      <c r="K27" s="29">
        <f>($J$22-($I$3*$G$7))*(K21^-$C$18)</f>
        <v>0.88775562154504417</v>
      </c>
      <c r="L27" s="29">
        <f>($J$22-($I$3*$G$7))*(L21^-$C$18)</f>
        <v>0.94019126921690588</v>
      </c>
      <c r="M27" s="29">
        <f>($J$22-($I$3*$G$7))*(M21^-$C$18)</f>
        <v>1.0371032438621335</v>
      </c>
      <c r="N27" s="29">
        <f>($J$22-($I$3*$G$7))*(N21^-$C$18)</f>
        <v>1.6355999999999999</v>
      </c>
      <c r="P27" s="36">
        <f t="shared" si="0"/>
        <v>5.3941237164830458E-2</v>
      </c>
      <c r="Q27" s="36">
        <f t="shared" si="0"/>
        <v>2.4987048086823949E-2</v>
      </c>
      <c r="R27" s="36">
        <f t="shared" si="0"/>
        <v>0.11927532049631662</v>
      </c>
      <c r="S27" s="36">
        <f t="shared" si="0"/>
        <v>0.32381564858063316</v>
      </c>
      <c r="T27" s="36">
        <f t="shared" si="0"/>
        <v>8.5648244699339515E-2</v>
      </c>
    </row>
    <row r="28" spans="2:20" x14ac:dyDescent="0.25">
      <c r="B28" s="31" t="s">
        <v>34</v>
      </c>
      <c r="C28" s="29">
        <v>4.0851474658424864</v>
      </c>
      <c r="D28" s="35">
        <v>3.8223043724521735</v>
      </c>
      <c r="E28" s="29">
        <v>3.4811924779325589</v>
      </c>
      <c r="F28" s="29">
        <v>2.7926425811354711</v>
      </c>
      <c r="G28" s="29">
        <v>5.4167030207087228</v>
      </c>
      <c r="J28" s="29">
        <f>($J$22+($G$3*$G$7)-($I$3*$G$7))*(J21^-$C$18)</f>
        <v>2.5782671436520928</v>
      </c>
      <c r="K28" s="29">
        <f>($J$22+($G$3*$G$7)-($I$3*$G$7))*(K21^-$C$18)</f>
        <v>2.6854119058182078</v>
      </c>
      <c r="L28" s="29">
        <f>($J$22+($G$3*$G$7)-($I$3*$G$7))*(L21^-$C$18)</f>
        <v>2.8440268547184906</v>
      </c>
      <c r="M28" s="29">
        <f>($J$22+($G$3*$G$7)-($I$3*$G$7))*(M21^-$C$18)</f>
        <v>3.1371802453731297</v>
      </c>
      <c r="N28" s="29">
        <f>($J$22+($G$3*$G$7)-($I$3*$G$7))*(N21^-$C$18)</f>
        <v>4.9475999999999996</v>
      </c>
      <c r="P28" s="36">
        <f t="shared" si="0"/>
        <v>0.36886803592526551</v>
      </c>
      <c r="Q28" s="36">
        <f t="shared" si="0"/>
        <v>0.29743640376409897</v>
      </c>
      <c r="R28" s="36">
        <f t="shared" si="0"/>
        <v>0.183030851426082</v>
      </c>
      <c r="S28" s="36">
        <f t="shared" si="0"/>
        <v>0.12337334772628572</v>
      </c>
      <c r="T28" s="36">
        <f t="shared" si="0"/>
        <v>8.6603053354648463E-2</v>
      </c>
    </row>
    <row r="29" spans="2:20" x14ac:dyDescent="0.25">
      <c r="B29" s="31" t="s">
        <v>35</v>
      </c>
      <c r="C29" s="29">
        <v>5.8398911137917473</v>
      </c>
      <c r="D29" s="35">
        <v>5.4641457929077042</v>
      </c>
      <c r="E29" s="29">
        <v>4.9765119098544899</v>
      </c>
      <c r="F29" s="29">
        <v>3.9922007050989312</v>
      </c>
      <c r="G29" s="29">
        <v>7.7434061074125937</v>
      </c>
      <c r="J29" s="29">
        <f>($J$22+($G$3*$I$7)-($I$3*$G$7))*(J21^-$C$18)</f>
        <v>4.3041990661550713</v>
      </c>
      <c r="K29" s="29">
        <f>($J$22+($G$3*$I$7)-($I$3*$G$7))*(K21^-$C$18)</f>
        <v>4.4830681900913723</v>
      </c>
      <c r="L29" s="29">
        <f>($J$22+($G$3*$I$7)-($I$3*$G$7))*(L21^-$C$18)</f>
        <v>4.747862440220076</v>
      </c>
      <c r="M29" s="29">
        <f>($J$22+($G$3*$I$7)-($I$3*$G$7))*(M21^-$C$18)</f>
        <v>5.237257246884127</v>
      </c>
      <c r="N29" s="29">
        <f>($J$22+($G$3*$I$7)-($I$3*$G$7))*(N21^-$C$18)</f>
        <v>8.2596000000000007</v>
      </c>
      <c r="P29" s="36">
        <f t="shared" si="0"/>
        <v>0.26296587003307603</v>
      </c>
      <c r="Q29" s="36">
        <f t="shared" si="0"/>
        <v>0.1795482111933655</v>
      </c>
      <c r="R29" s="36">
        <f t="shared" si="0"/>
        <v>4.594572941373698E-2</v>
      </c>
      <c r="S29" s="36">
        <f t="shared" si="0"/>
        <v>0.31187223132218289</v>
      </c>
      <c r="T29" s="36">
        <f t="shared" si="0"/>
        <v>6.6662381570465001E-2</v>
      </c>
    </row>
    <row r="30" spans="2:20" x14ac:dyDescent="0.25">
      <c r="B30" s="31" t="s">
        <v>36</v>
      </c>
      <c r="C30" s="29">
        <v>2.5574862109309708</v>
      </c>
      <c r="D30" s="35">
        <v>2.4586461641317063</v>
      </c>
      <c r="E30" s="29">
        <v>2.3845161290322578</v>
      </c>
      <c r="F30" s="29">
        <v>2.2239010529834533</v>
      </c>
      <c r="G30" s="29">
        <v>5.0779074043122172</v>
      </c>
      <c r="J30" s="29">
        <f>($J$22+($G$7*$H$3)-($I$3*$G$7))*(J21^-$C$18)</f>
        <v>2.1947267164292095</v>
      </c>
      <c r="K30" s="29">
        <f>($J$22+($G$7*$H$3)-($I$3*$G$7))*(K21^-$C$18)</f>
        <v>2.2859327315352829</v>
      </c>
      <c r="L30" s="29">
        <f>($J$22+($G$7*$H$3)-($I$3*$G$7))*(L21^-$C$18)</f>
        <v>2.4209522801625836</v>
      </c>
      <c r="M30" s="29">
        <f>($J$22+($G$7*$H$3)-($I$3*$G$7))*(M21^-$C$18)</f>
        <v>2.6704964672595759</v>
      </c>
      <c r="N30" s="29">
        <f>($J$22+($G$7*$H$3)-($I$3*$G$7))*(N21^-$C$18)</f>
        <v>4.2116000000000007</v>
      </c>
      <c r="P30" s="36">
        <f t="shared" si="0"/>
        <v>0.14184220933481018</v>
      </c>
      <c r="Q30" s="36">
        <f t="shared" si="0"/>
        <v>7.0247372361292526E-2</v>
      </c>
      <c r="R30" s="36">
        <f t="shared" si="0"/>
        <v>1.5280312297620391E-2</v>
      </c>
      <c r="S30" s="36">
        <f t="shared" si="0"/>
        <v>0.2008162250190928</v>
      </c>
      <c r="T30" s="36">
        <f t="shared" si="0"/>
        <v>0.17060322990067489</v>
      </c>
    </row>
    <row r="31" spans="2:20" x14ac:dyDescent="0.25">
      <c r="B31" s="31" t="s">
        <v>58</v>
      </c>
      <c r="C31" s="29">
        <v>6.0192890112874355</v>
      </c>
      <c r="D31" s="35">
        <v>5.709330253660962</v>
      </c>
      <c r="E31" s="29">
        <v>5.3685025730009812</v>
      </c>
      <c r="F31" s="29">
        <v>4.6567762908851131</v>
      </c>
      <c r="G31" s="29">
        <v>9.8327058439716737</v>
      </c>
      <c r="J31" s="29">
        <f>($J$22+($G$7*$H$3)-($I$3*$G$7)+($G$3*$I$7))*(J21^-$C$18)</f>
        <v>5.6465905614351657</v>
      </c>
      <c r="K31" s="29">
        <f>($J$22+($G$7*$H$3)-($I$3*$G$7)+($G$3*$I$7))*(K21^-$C$18)</f>
        <v>5.8812453000816109</v>
      </c>
      <c r="L31" s="29">
        <f>($J$22+($G$7*$H$3)-($I$3*$G$7)+($G$3*$I$7))*(L21^-$C$18)</f>
        <v>6.2286234511657543</v>
      </c>
      <c r="M31" s="29">
        <f>($J$22+($G$7*$H$3)-($I$3*$G$7)+($G$3*$I$7))*(M21^-$C$18)</f>
        <v>6.8706504702815696</v>
      </c>
      <c r="N31" s="29">
        <f>($J$22+($G$7*$H$3)-($I$3*$G$7)+($G$3*$I$7))*(N21^-$C$18)</f>
        <v>10.835600000000001</v>
      </c>
      <c r="P31" s="36">
        <f t="shared" si="0"/>
        <v>6.1917354217978504E-2</v>
      </c>
      <c r="Q31" s="36">
        <f t="shared" si="0"/>
        <v>3.0111245764844696E-2</v>
      </c>
      <c r="R31" s="36">
        <f t="shared" si="0"/>
        <v>0.16021616204310907</v>
      </c>
      <c r="S31" s="36">
        <f t="shared" si="0"/>
        <v>0.47540917602800836</v>
      </c>
      <c r="T31" s="36">
        <f t="shared" si="0"/>
        <v>0.10199574480743689</v>
      </c>
    </row>
    <row r="32" spans="2:20" x14ac:dyDescent="0.25">
      <c r="B32" s="32" t="s">
        <v>28</v>
      </c>
      <c r="C32" s="29">
        <v>0.65423333333333333</v>
      </c>
      <c r="D32" s="35">
        <v>0.63111666666666666</v>
      </c>
      <c r="E32" s="29">
        <v>0.62</v>
      </c>
      <c r="F32" s="29">
        <v>0.56968333333333332</v>
      </c>
      <c r="G32" s="29">
        <v>1.3203108808290156</v>
      </c>
      <c r="J32" s="37">
        <f>($J$22-($I$3*$G$7)-($J$3*$G$7))*(J21^-$C$18)</f>
        <v>-0.10651584690809447</v>
      </c>
      <c r="K32" s="37">
        <f>($J$22-($I$3*$G$7)-($J$3*$G$7))*(K21^-$C$18)</f>
        <v>-0.11094231416226899</v>
      </c>
      <c r="L32" s="37">
        <f>($J$22-($I$3*$G$7)-($J$3*$G$7))*(L21^-$C$18)</f>
        <v>-0.1174951671728636</v>
      </c>
      <c r="M32" s="37">
        <f>($J$22-($I$3*$G$7)-($J$3*$G$7))*(M21^-$C$18)</f>
        <v>-0.12960620142175364</v>
      </c>
      <c r="N32" s="37">
        <f>($J$22-($I$3*$G$7)-($J$3*$G$7))*(N21^-$C$18)</f>
        <v>-0.20440000000000014</v>
      </c>
      <c r="P32" s="36">
        <v>0</v>
      </c>
      <c r="Q32" s="36">
        <v>0</v>
      </c>
      <c r="R32" s="36">
        <v>0</v>
      </c>
      <c r="S32" s="36">
        <v>0</v>
      </c>
      <c r="T32" s="36">
        <v>0</v>
      </c>
    </row>
    <row r="33" spans="2:20" x14ac:dyDescent="0.25">
      <c r="B33" s="32" t="s">
        <v>25</v>
      </c>
      <c r="C33" s="29">
        <v>2.9700739599383672</v>
      </c>
      <c r="D33" s="35">
        <v>2.7885539012844278</v>
      </c>
      <c r="E33" s="29">
        <v>2.5694515908549844</v>
      </c>
      <c r="F33" s="29">
        <v>2.0331694150918165</v>
      </c>
      <c r="G33" s="29">
        <v>3.9980427057612005</v>
      </c>
      <c r="J33" s="29">
        <f>($J$22-($I$3*$G$7)+($G$3*$G$7)-($J$3*$G$7))*(J21^-$C$18)</f>
        <v>1.6194160755948837</v>
      </c>
      <c r="K33" s="29">
        <f>($J$22-($I$3*$G$7)+($G$3*$G$7)-($J$3*$G$7))*(K21^-$C$18)</f>
        <v>1.6867139701108951</v>
      </c>
      <c r="L33" s="29">
        <f>($J$22-($I$3*$G$7)+($G$3*$G$7)-($J$3*$G$7))*(L21^-$C$18)</f>
        <v>1.7863404183287219</v>
      </c>
      <c r="M33" s="29">
        <f>($J$22-($I$3*$G$7)+($G$3*$G$7)-($J$3*$G$7))*(M21^-$C$18)</f>
        <v>1.9704708000892435</v>
      </c>
      <c r="N33" s="29">
        <f>($J$22-($I$3*$G$7)+($G$3*$G$7)-($J$3*$G$7))*(N21^-$C$18)</f>
        <v>3.1076000000000006</v>
      </c>
      <c r="P33" s="36">
        <f t="shared" ref="P33:T36" si="1">ABS(1-(J33/C33))</f>
        <v>0.45475563994760304</v>
      </c>
      <c r="Q33" s="36">
        <f t="shared" si="1"/>
        <v>0.39512950804573566</v>
      </c>
      <c r="R33" s="36">
        <f t="shared" si="1"/>
        <v>0.30477755460093425</v>
      </c>
      <c r="S33" s="36">
        <f t="shared" si="1"/>
        <v>3.083787043872166E-2</v>
      </c>
      <c r="T33" s="36">
        <f t="shared" si="1"/>
        <v>0.22271965841637142</v>
      </c>
    </row>
    <row r="34" spans="2:20" x14ac:dyDescent="0.25">
      <c r="B34" s="32" t="s">
        <v>26</v>
      </c>
      <c r="C34" s="29">
        <v>4.2458463668633488</v>
      </c>
      <c r="D34" s="38">
        <v>3.986355764291067</v>
      </c>
      <c r="E34" s="29">
        <v>3.6731397429878383</v>
      </c>
      <c r="F34" s="29">
        <v>2.9065016867338898</v>
      </c>
      <c r="G34" s="29">
        <v>5.71537117451882</v>
      </c>
      <c r="J34" s="29">
        <f>($J$22-($I$3*$G$7)+($G$3*$I$7)-($J$3*$G$7))*(J21^-$C$18)</f>
        <v>3.3453479980978615</v>
      </c>
      <c r="K34" s="29">
        <f>($J$22-($I$3*$G$7)+($G$3*$I$7)-($J$3*$G$7))*(K21^-$C$18)</f>
        <v>3.4843702543840589</v>
      </c>
      <c r="L34" s="29">
        <f>($J$22-($I$3*$G$7)+($G$3*$I$7)-($J$3*$G$7))*(L21^-$C$18)</f>
        <v>3.6901760038303069</v>
      </c>
      <c r="M34" s="29">
        <f>($J$22-($I$3*$G$7)+($G$3*$I$7)-($J$3*$G$7))*(M21^-$C$18)</f>
        <v>4.0705478016002399</v>
      </c>
      <c r="N34" s="29">
        <f>($J$22-($I$3*$G$7)+($G$3*$I$7)-($J$3*$G$7))*(N21^-$C$18)</f>
        <v>6.4196000000000009</v>
      </c>
      <c r="P34" s="36">
        <f t="shared" si="1"/>
        <v>0.21208924934105355</v>
      </c>
      <c r="Q34" s="36">
        <f t="shared" si="1"/>
        <v>0.12592591820421251</v>
      </c>
      <c r="R34" s="36">
        <f t="shared" si="1"/>
        <v>4.6380649892210357E-3</v>
      </c>
      <c r="S34" s="36">
        <f t="shared" si="1"/>
        <v>0.40049731269016342</v>
      </c>
      <c r="T34" s="36">
        <f t="shared" si="1"/>
        <v>0.12321663877595324</v>
      </c>
    </row>
    <row r="35" spans="2:20" x14ac:dyDescent="0.25">
      <c r="B35" s="32" t="s">
        <v>27</v>
      </c>
      <c r="C35" s="29">
        <v>1.8594000000000002</v>
      </c>
      <c r="D35" s="35">
        <v>1.7937000000000001</v>
      </c>
      <c r="E35" s="29">
        <v>1.76</v>
      </c>
      <c r="F35" s="29">
        <v>1.6191000000000002</v>
      </c>
      <c r="G35" s="29">
        <v>3.7479792746113989</v>
      </c>
      <c r="J35" s="29">
        <f>($J$22+($G$7*$H$3)-($I$3*$G$7)-($J$3*$G$7))*(J26^-$C$18)</f>
        <v>1.849229707336068</v>
      </c>
      <c r="K35" s="29">
        <f>($J$22+($G$7*$H$3)-($I$3*$G$7)-($J$3*$G$7))*(K26^-$C$18)</f>
        <v>1.8386036937992942</v>
      </c>
      <c r="L35" s="29">
        <f>($J$22+($G$7*$H$3)-($I$3*$G$7)-($J$3*$G$7))*(L26^-$C$18)</f>
        <v>1.8237307623110834</v>
      </c>
      <c r="M35" s="29">
        <f>($J$22+($G$7*$H$3)-($I$3*$G$7)-($J$3*$G$7))*(M26^-$C$18)</f>
        <v>1.7985834210889187</v>
      </c>
      <c r="N35" s="29">
        <f>($J$22+($G$7*$H$3)-($I$3*$G$7)-($J$3*$G$7))*(N26^-$C$18)</f>
        <v>1.6862714719182796</v>
      </c>
      <c r="P35" s="36">
        <f t="shared" si="1"/>
        <v>5.4696636893256656E-3</v>
      </c>
      <c r="Q35" s="36">
        <f t="shared" si="1"/>
        <v>2.5034115961027004E-2</v>
      </c>
      <c r="R35" s="36">
        <f t="shared" si="1"/>
        <v>3.6210660404024653E-2</v>
      </c>
      <c r="S35" s="36">
        <f t="shared" si="1"/>
        <v>0.11085382069601524</v>
      </c>
      <c r="T35" s="36">
        <f t="shared" si="1"/>
        <v>0.5500851663345665</v>
      </c>
    </row>
    <row r="36" spans="2:20" x14ac:dyDescent="0.25">
      <c r="B36" s="32" t="s">
        <v>57</v>
      </c>
      <c r="C36" s="29">
        <v>4.3762761807867863</v>
      </c>
      <c r="D36" s="35">
        <v>4.165229558198063</v>
      </c>
      <c r="E36" s="29">
        <v>3.9624661848340579</v>
      </c>
      <c r="F36" s="29">
        <v>3.3903426065009317</v>
      </c>
      <c r="G36" s="29">
        <v>7.2574733610267126</v>
      </c>
      <c r="J36" s="29">
        <f>($J$22+($G$7*$H$3)-($I$3*$G$7)+($G$3*$I$7)-($J$3*$G$7))*(J21^-$C$18)</f>
        <v>4.6877394933779559</v>
      </c>
      <c r="K36" s="29">
        <f>($J$22+($G$7*$H$3)-($I$3*$G$7)+($G$3*$I$7)-($J$3*$G$7))*(K21^-$C$18)</f>
        <v>4.8825473643742976</v>
      </c>
      <c r="L36" s="29">
        <f>($J$22+($G$7*$H$3)-($I$3*$G$7)+($G$3*$I$7)-($J$3*$G$7))*(L21^-$C$18)</f>
        <v>5.1709370147759843</v>
      </c>
      <c r="M36" s="29">
        <f>($J$22+($G$7*$H$3)-($I$3*$G$7)+($G$3*$I$7)-($J$3*$G$7))*(M21^-$C$18)</f>
        <v>5.7039410249976825</v>
      </c>
      <c r="N36" s="29">
        <f>($J$22+($G$7*$H$3)-($I$3*$G$7)+($G$3*$I$7)-($J$3*$G$7))*(N21^-$C$18)</f>
        <v>8.9956000000000014</v>
      </c>
      <c r="P36" s="36">
        <f t="shared" si="1"/>
        <v>7.1170853877684959E-2</v>
      </c>
      <c r="Q36" s="36">
        <f t="shared" si="1"/>
        <v>0.17221567170635277</v>
      </c>
      <c r="R36" s="36">
        <f t="shared" si="1"/>
        <v>0.30497946823299782</v>
      </c>
      <c r="S36" s="36">
        <f t="shared" si="1"/>
        <v>0.68240844275161461</v>
      </c>
      <c r="T36" s="36">
        <f t="shared" si="1"/>
        <v>0.23949473218974338</v>
      </c>
    </row>
    <row r="37" spans="2:20" x14ac:dyDescent="0.25">
      <c r="E37" s="477" t="s">
        <v>186</v>
      </c>
      <c r="F37" s="477"/>
      <c r="G37">
        <v>0.73809523809523825</v>
      </c>
    </row>
    <row r="40" spans="2:20" x14ac:dyDescent="0.25">
      <c r="C40" s="168" t="s">
        <v>69</v>
      </c>
    </row>
    <row r="41" spans="2:20" x14ac:dyDescent="0.25">
      <c r="B41" s="45" t="s">
        <v>222</v>
      </c>
      <c r="C41" s="33">
        <v>100</v>
      </c>
      <c r="D41" s="34">
        <v>75</v>
      </c>
      <c r="E41" s="33">
        <v>50</v>
      </c>
      <c r="F41" s="33">
        <v>25</v>
      </c>
      <c r="G41" s="33">
        <v>1</v>
      </c>
      <c r="K41" t="s">
        <v>155</v>
      </c>
      <c r="L41" t="s">
        <v>187</v>
      </c>
      <c r="M41" t="s">
        <v>132</v>
      </c>
      <c r="N41" t="s">
        <v>133</v>
      </c>
    </row>
    <row r="42" spans="2:20" x14ac:dyDescent="0.25">
      <c r="B42" s="30" t="s">
        <v>21</v>
      </c>
      <c r="C42" s="29">
        <v>2.0659999999999998</v>
      </c>
      <c r="D42" s="35">
        <v>1.9930000000000001</v>
      </c>
      <c r="E42" s="29">
        <v>1.929</v>
      </c>
      <c r="F42" s="29">
        <v>1.7989999999999999</v>
      </c>
      <c r="G42" s="29">
        <v>4.1130000000000004</v>
      </c>
      <c r="J42" s="31" t="s">
        <v>129</v>
      </c>
      <c r="K42" s="29">
        <v>2</v>
      </c>
      <c r="L42" s="29">
        <f>K42*0.6</f>
        <v>1.2</v>
      </c>
      <c r="M42" s="29">
        <v>6.03</v>
      </c>
      <c r="N42" s="29">
        <v>0.98</v>
      </c>
    </row>
    <row r="43" spans="2:20" x14ac:dyDescent="0.25">
      <c r="B43" s="30" t="s">
        <v>16</v>
      </c>
      <c r="C43" s="29">
        <v>3.7320000000000002</v>
      </c>
      <c r="D43" s="35">
        <v>3.7570000000000001</v>
      </c>
      <c r="E43" s="29">
        <v>3.802</v>
      </c>
      <c r="F43" s="29">
        <v>3.9430000000000001</v>
      </c>
      <c r="G43" s="29">
        <v>7.21</v>
      </c>
      <c r="J43" s="31" t="s">
        <v>130</v>
      </c>
      <c r="K43" s="29">
        <v>2.69</v>
      </c>
      <c r="L43" s="29">
        <f>K43*0.6</f>
        <v>1.6139999999999999</v>
      </c>
      <c r="M43" s="29">
        <v>7.98</v>
      </c>
      <c r="N43" s="29">
        <v>1.3</v>
      </c>
    </row>
    <row r="44" spans="2:20" x14ac:dyDescent="0.25">
      <c r="B44" s="30" t="s">
        <v>17</v>
      </c>
      <c r="C44" s="29">
        <v>5.3350518723994442</v>
      </c>
      <c r="D44" s="35">
        <v>5.3707904299583902</v>
      </c>
      <c r="E44" s="29">
        <v>5.4351198335644924</v>
      </c>
      <c r="F44" s="29">
        <v>5.636685298196948</v>
      </c>
      <c r="G44" s="29">
        <v>10.306999999999999</v>
      </c>
      <c r="J44" s="31" t="s">
        <v>128</v>
      </c>
      <c r="K44" s="29">
        <v>5.64</v>
      </c>
      <c r="L44" s="29">
        <f t="shared" ref="L44" si="2">K44*0.6</f>
        <v>3.3839999999999999</v>
      </c>
      <c r="M44" s="29">
        <v>17.25</v>
      </c>
      <c r="N44" s="29">
        <v>2.8</v>
      </c>
    </row>
    <row r="45" spans="2:20" x14ac:dyDescent="0.25">
      <c r="B45" s="30" t="s">
        <v>24</v>
      </c>
      <c r="C45" s="29">
        <v>2.3363999999999998</v>
      </c>
      <c r="D45" s="35">
        <v>2.4166400000000001</v>
      </c>
      <c r="E45" s="29">
        <v>2.6042599999999996</v>
      </c>
      <c r="F45" s="29">
        <v>3.13998</v>
      </c>
      <c r="G45" s="29">
        <v>6.7590399999999997</v>
      </c>
      <c r="J45" s="31" t="s">
        <v>131</v>
      </c>
      <c r="K45" s="29">
        <v>6.06</v>
      </c>
      <c r="L45" s="29">
        <f>K45*0.6</f>
        <v>3.6359999999999997</v>
      </c>
      <c r="M45" s="29">
        <v>18.059999999999999</v>
      </c>
      <c r="N45" s="29">
        <v>2.94</v>
      </c>
    </row>
    <row r="46" spans="2:20" x14ac:dyDescent="0.25">
      <c r="B46" s="30" t="s">
        <v>20</v>
      </c>
      <c r="C46" s="29">
        <v>5.4989414159353798</v>
      </c>
      <c r="D46" s="35">
        <v>5.6117858948117112</v>
      </c>
      <c r="E46" s="29">
        <v>5.8632341968840578</v>
      </c>
      <c r="F46" s="29">
        <v>6.5750157356313963</v>
      </c>
      <c r="G46" s="29">
        <v>13.088000000000001</v>
      </c>
    </row>
    <row r="47" spans="2:20" x14ac:dyDescent="0.25">
      <c r="B47" s="31" t="s">
        <v>39</v>
      </c>
      <c r="C47" s="29">
        <f>C42*0.6</f>
        <v>1.2395999999999998</v>
      </c>
      <c r="D47" s="29">
        <f t="shared" ref="D47:G47" si="3">D42*0.6</f>
        <v>1.1958</v>
      </c>
      <c r="E47" s="29">
        <f t="shared" si="3"/>
        <v>1.1574</v>
      </c>
      <c r="F47" s="29">
        <f t="shared" si="3"/>
        <v>1.0793999999999999</v>
      </c>
      <c r="G47" s="29">
        <f t="shared" si="3"/>
        <v>2.4678</v>
      </c>
      <c r="J47" s="31" t="s">
        <v>190</v>
      </c>
    </row>
    <row r="48" spans="2:20" x14ac:dyDescent="0.25">
      <c r="B48" s="31" t="s">
        <v>127</v>
      </c>
      <c r="C48" s="29">
        <f>C43*0.6</f>
        <v>2.2391999999999999</v>
      </c>
      <c r="D48" s="29">
        <f t="shared" ref="C48:G51" si="4">D43*0.6</f>
        <v>2.2542</v>
      </c>
      <c r="E48" s="29">
        <f t="shared" si="4"/>
        <v>2.2812000000000001</v>
      </c>
      <c r="F48" s="29">
        <f t="shared" si="4"/>
        <v>2.3658000000000001</v>
      </c>
      <c r="G48" s="29">
        <f t="shared" si="4"/>
        <v>4.3259999999999996</v>
      </c>
      <c r="J48" s="172" t="s">
        <v>188</v>
      </c>
      <c r="K48" s="171">
        <f>M42/K42</f>
        <v>3.0150000000000001</v>
      </c>
    </row>
    <row r="49" spans="2:16" x14ac:dyDescent="0.25">
      <c r="B49" s="31" t="s">
        <v>134</v>
      </c>
      <c r="C49" s="29">
        <f t="shared" si="4"/>
        <v>3.2010311234396664</v>
      </c>
      <c r="D49" s="29">
        <f t="shared" si="4"/>
        <v>3.2224742579750338</v>
      </c>
      <c r="E49" s="29">
        <f t="shared" si="4"/>
        <v>3.2610719001386954</v>
      </c>
      <c r="F49" s="29">
        <f>F44*0.6</f>
        <v>3.3820111789181686</v>
      </c>
      <c r="G49" s="29">
        <f t="shared" si="4"/>
        <v>6.1841999999999988</v>
      </c>
      <c r="J49" s="32" t="s">
        <v>189</v>
      </c>
      <c r="K49" s="171">
        <f>N42/K42</f>
        <v>0.49</v>
      </c>
    </row>
    <row r="50" spans="2:16" x14ac:dyDescent="0.25">
      <c r="B50" s="31" t="s">
        <v>135</v>
      </c>
      <c r="C50" s="29">
        <f t="shared" si="4"/>
        <v>1.4018399999999998</v>
      </c>
      <c r="D50" s="29">
        <f t="shared" si="4"/>
        <v>1.4499839999999999</v>
      </c>
      <c r="E50" s="29">
        <f t="shared" si="4"/>
        <v>1.5625559999999996</v>
      </c>
      <c r="F50" s="29">
        <f t="shared" si="4"/>
        <v>1.883988</v>
      </c>
      <c r="G50" s="29">
        <f t="shared" si="4"/>
        <v>4.0554239999999995</v>
      </c>
    </row>
    <row r="51" spans="2:16" x14ac:dyDescent="0.25">
      <c r="B51" s="31" t="s">
        <v>136</v>
      </c>
      <c r="C51" s="29">
        <f t="shared" si="4"/>
        <v>3.2993648495612278</v>
      </c>
      <c r="D51" s="29">
        <f t="shared" si="4"/>
        <v>3.3670715368870265</v>
      </c>
      <c r="E51" s="29">
        <f t="shared" si="4"/>
        <v>3.5179405181304344</v>
      </c>
      <c r="F51" s="29">
        <f t="shared" si="4"/>
        <v>3.9450094413788377</v>
      </c>
      <c r="G51" s="29">
        <f t="shared" si="4"/>
        <v>7.8528000000000002</v>
      </c>
    </row>
    <row r="52" spans="2:16" x14ac:dyDescent="0.25">
      <c r="B52" s="32" t="s">
        <v>28</v>
      </c>
      <c r="C52" s="29">
        <f t="shared" ref="C52:G56" si="5">C47*$G$57</f>
        <v>1.2024119999999998</v>
      </c>
      <c r="D52" s="29">
        <f t="shared" si="5"/>
        <v>1.159926</v>
      </c>
      <c r="E52" s="29">
        <f t="shared" si="5"/>
        <v>1.1226780000000001</v>
      </c>
      <c r="F52" s="29">
        <f t="shared" si="5"/>
        <v>1.0470179999999998</v>
      </c>
      <c r="G52" s="29">
        <f t="shared" si="5"/>
        <v>2.3937659999999998</v>
      </c>
    </row>
    <row r="53" spans="2:16" x14ac:dyDescent="0.25">
      <c r="B53" s="32" t="s">
        <v>25</v>
      </c>
      <c r="C53" s="29">
        <f t="shared" si="5"/>
        <v>2.172024</v>
      </c>
      <c r="D53" s="29">
        <f t="shared" si="5"/>
        <v>2.1865739999999998</v>
      </c>
      <c r="E53" s="29">
        <f t="shared" si="5"/>
        <v>2.212764</v>
      </c>
      <c r="F53" s="29">
        <f t="shared" si="5"/>
        <v>2.294826</v>
      </c>
      <c r="G53" s="29">
        <f t="shared" si="5"/>
        <v>4.1962199999999994</v>
      </c>
    </row>
    <row r="54" spans="2:16" x14ac:dyDescent="0.25">
      <c r="B54" s="32" t="s">
        <v>26</v>
      </c>
      <c r="C54" s="29">
        <f t="shared" si="5"/>
        <v>3.1050001897364763</v>
      </c>
      <c r="D54" s="29">
        <f>D49*$G$57</f>
        <v>3.1258000302357827</v>
      </c>
      <c r="E54" s="29">
        <f t="shared" si="5"/>
        <v>3.1632397431345343</v>
      </c>
      <c r="F54" s="29">
        <f t="shared" si="5"/>
        <v>3.2805508435506234</v>
      </c>
      <c r="G54" s="29">
        <f t="shared" si="5"/>
        <v>5.9986739999999985</v>
      </c>
    </row>
    <row r="55" spans="2:16" x14ac:dyDescent="0.25">
      <c r="B55" s="32" t="s">
        <v>27</v>
      </c>
      <c r="C55" s="29">
        <f t="shared" si="5"/>
        <v>1.3597847999999997</v>
      </c>
      <c r="D55" s="29">
        <f t="shared" si="5"/>
        <v>1.4064844799999998</v>
      </c>
      <c r="E55" s="29">
        <f t="shared" si="5"/>
        <v>1.5156793199999996</v>
      </c>
      <c r="F55" s="29">
        <f t="shared" si="5"/>
        <v>1.8274683599999999</v>
      </c>
      <c r="G55" s="29">
        <f t="shared" si="5"/>
        <v>3.9337612799999992</v>
      </c>
    </row>
    <row r="56" spans="2:16" x14ac:dyDescent="0.25">
      <c r="B56" s="32" t="s">
        <v>57</v>
      </c>
      <c r="C56" s="29">
        <f t="shared" si="5"/>
        <v>3.2003839040743909</v>
      </c>
      <c r="D56" s="29">
        <f t="shared" si="5"/>
        <v>3.2660593907804158</v>
      </c>
      <c r="E56" s="29">
        <f t="shared" si="5"/>
        <v>3.4124023025865213</v>
      </c>
      <c r="F56" s="29">
        <f t="shared" si="5"/>
        <v>3.8266591581374723</v>
      </c>
      <c r="G56" s="29">
        <f t="shared" si="5"/>
        <v>7.617216</v>
      </c>
    </row>
    <row r="57" spans="2:16" x14ac:dyDescent="0.25">
      <c r="E57" s="477" t="s">
        <v>186</v>
      </c>
      <c r="F57" s="477"/>
      <c r="G57">
        <v>0.97</v>
      </c>
    </row>
    <row r="60" spans="2:16" x14ac:dyDescent="0.25">
      <c r="K60" s="202"/>
      <c r="L60" s="202"/>
      <c r="P60" s="202"/>
    </row>
    <row r="61" spans="2:16" x14ac:dyDescent="0.25">
      <c r="K61" s="202"/>
      <c r="L61" s="202"/>
      <c r="P61" s="202"/>
    </row>
    <row r="62" spans="2:16" x14ac:dyDescent="0.25">
      <c r="K62" s="202"/>
      <c r="L62" s="202"/>
      <c r="P62" s="202"/>
    </row>
    <row r="63" spans="2:16" x14ac:dyDescent="0.25">
      <c r="K63" s="202"/>
      <c r="L63" s="202"/>
      <c r="P63" s="202"/>
    </row>
    <row r="64" spans="2:16" x14ac:dyDescent="0.25">
      <c r="K64" s="202"/>
      <c r="L64" s="202"/>
      <c r="M64" s="202"/>
      <c r="N64" s="202"/>
      <c r="O64" s="202"/>
      <c r="P64" s="202"/>
    </row>
  </sheetData>
  <mergeCells count="9">
    <mergeCell ref="P20:Q20"/>
    <mergeCell ref="E37:F37"/>
    <mergeCell ref="E57:F57"/>
    <mergeCell ref="G1:H1"/>
    <mergeCell ref="G5:H5"/>
    <mergeCell ref="G6:H6"/>
    <mergeCell ref="G7:H7"/>
    <mergeCell ref="G9:H9"/>
    <mergeCell ref="J20:K20"/>
  </mergeCells>
  <pageMargins left="0.7" right="0.7" top="0.75" bottom="0.75" header="0.3" footer="0.3"/>
  <pageSetup paperSize="9" orientation="portrait" r:id="rId1"/>
  <headerFooter>
    <oddFooter>&amp;C&amp;1#&amp;"Calibri"&amp;12&amp;K008000Internal Use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F976-56D1-44C2-8D6D-9BF754816BAC}">
  <sheetPr>
    <tabColor rgb="FFFF99FF"/>
  </sheetPr>
  <dimension ref="B2:D13"/>
  <sheetViews>
    <sheetView workbookViewId="0">
      <selection activeCell="D13" sqref="D13"/>
    </sheetView>
  </sheetViews>
  <sheetFormatPr defaultRowHeight="15" x14ac:dyDescent="0.25"/>
  <sheetData>
    <row r="2" spans="2:4" x14ac:dyDescent="0.25">
      <c r="B2">
        <v>1</v>
      </c>
    </row>
    <row r="3" spans="2:4" x14ac:dyDescent="0.25">
      <c r="B3">
        <v>25</v>
      </c>
    </row>
    <row r="4" spans="2:4" x14ac:dyDescent="0.25">
      <c r="B4">
        <v>50</v>
      </c>
    </row>
    <row r="5" spans="2:4" x14ac:dyDescent="0.25">
      <c r="B5">
        <v>100</v>
      </c>
    </row>
    <row r="7" spans="2:4" x14ac:dyDescent="0.25">
      <c r="B7" t="s">
        <v>59</v>
      </c>
    </row>
    <row r="8" spans="2:4" x14ac:dyDescent="0.25">
      <c r="B8" t="s">
        <v>82</v>
      </c>
    </row>
    <row r="10" spans="2:4" x14ac:dyDescent="0.25">
      <c r="B10">
        <v>0</v>
      </c>
      <c r="D10">
        <v>0</v>
      </c>
    </row>
    <row r="11" spans="2:4" x14ac:dyDescent="0.25">
      <c r="B11">
        <v>5</v>
      </c>
      <c r="D11">
        <v>7.36</v>
      </c>
    </row>
    <row r="12" spans="2:4" x14ac:dyDescent="0.25">
      <c r="B12">
        <v>8</v>
      </c>
    </row>
    <row r="13" spans="2:4" x14ac:dyDescent="0.25">
      <c r="B13">
        <v>16</v>
      </c>
    </row>
  </sheetData>
  <pageMargins left="0.7" right="0.7" top="0.75" bottom="0.75" header="0.3" footer="0.3"/>
  <pageSetup paperSize="9" orientation="portrait" r:id="rId1"/>
  <headerFooter>
    <oddFooter>&amp;C&amp;1#&amp;"Calibri"&amp;12&amp;K008000Internal Use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71C52-8CBC-425E-BD7F-DBE2B46C7EBD}">
  <dimension ref="B1:T67"/>
  <sheetViews>
    <sheetView topLeftCell="A31" workbookViewId="0">
      <selection activeCell="G42" sqref="G42"/>
    </sheetView>
  </sheetViews>
  <sheetFormatPr defaultRowHeight="15" x14ac:dyDescent="0.25"/>
  <cols>
    <col min="2" max="2" width="64.5703125" customWidth="1"/>
    <col min="3" max="3" width="16.5703125" customWidth="1"/>
    <col min="9" max="9" width="8.28515625" customWidth="1"/>
    <col min="10" max="10" width="34.5703125" customWidth="1"/>
    <col min="16" max="19" width="9.28515625" bestFit="1" customWidth="1"/>
    <col min="20" max="20" width="10.140625" bestFit="1" customWidth="1"/>
  </cols>
  <sheetData>
    <row r="1" spans="2:11" x14ac:dyDescent="0.25">
      <c r="G1" s="478" t="s">
        <v>79</v>
      </c>
      <c r="H1" s="479"/>
    </row>
    <row r="2" spans="2:11" x14ac:dyDescent="0.25">
      <c r="B2" s="45" t="s">
        <v>81</v>
      </c>
      <c r="C2" s="47" t="s">
        <v>76</v>
      </c>
      <c r="D2" s="47" t="s">
        <v>77</v>
      </c>
      <c r="G2" s="44" t="s">
        <v>9</v>
      </c>
      <c r="H2" s="44" t="s">
        <v>64</v>
      </c>
      <c r="I2" s="44" t="s">
        <v>65</v>
      </c>
      <c r="J2" s="44" t="s">
        <v>66</v>
      </c>
      <c r="K2" s="44" t="s">
        <v>67</v>
      </c>
    </row>
    <row r="3" spans="2:11" x14ac:dyDescent="0.25">
      <c r="B3" s="39" t="s">
        <v>21</v>
      </c>
      <c r="C3" s="43">
        <v>0.16500000000000001</v>
      </c>
      <c r="D3" s="43">
        <v>3.8620000000000001</v>
      </c>
      <c r="G3" s="25">
        <v>0.9</v>
      </c>
      <c r="H3" s="25">
        <v>0.7</v>
      </c>
      <c r="I3" s="25">
        <v>0.08</v>
      </c>
      <c r="J3" s="25">
        <v>0.5</v>
      </c>
      <c r="K3" s="25">
        <v>1.93</v>
      </c>
    </row>
    <row r="4" spans="2:11" x14ac:dyDescent="0.25">
      <c r="B4" s="39" t="s">
        <v>16</v>
      </c>
      <c r="C4" s="43">
        <v>0.15</v>
      </c>
      <c r="D4" s="43">
        <v>7</v>
      </c>
    </row>
    <row r="5" spans="2:11" x14ac:dyDescent="0.25">
      <c r="B5" s="39" t="s">
        <v>17</v>
      </c>
      <c r="C5" s="43">
        <f>0.15</f>
        <v>0.15</v>
      </c>
      <c r="D5" s="43">
        <v>10</v>
      </c>
      <c r="G5" s="476" t="s">
        <v>80</v>
      </c>
      <c r="H5" s="476"/>
    </row>
    <row r="6" spans="2:11" x14ac:dyDescent="0.25">
      <c r="B6" s="39" t="s">
        <v>24</v>
      </c>
      <c r="C6" s="43">
        <v>0.23599999999999999</v>
      </c>
      <c r="D6" s="43">
        <v>6.7229999999999999</v>
      </c>
      <c r="G6" s="480" t="s">
        <v>68</v>
      </c>
      <c r="H6" s="481"/>
      <c r="I6" s="46" t="s">
        <v>78</v>
      </c>
    </row>
    <row r="7" spans="2:11" x14ac:dyDescent="0.25">
      <c r="B7" s="39" t="s">
        <v>20</v>
      </c>
      <c r="C7" s="43">
        <v>0.19400000000000001</v>
      </c>
      <c r="D7" s="43">
        <v>12.867000000000001</v>
      </c>
      <c r="G7" s="482">
        <v>3.68</v>
      </c>
      <c r="H7" s="483"/>
      <c r="I7" s="24">
        <v>7.36</v>
      </c>
    </row>
    <row r="8" spans="2:11" x14ac:dyDescent="0.25">
      <c r="B8" s="40" t="s">
        <v>39</v>
      </c>
      <c r="C8" s="43">
        <v>0.16400000000000001</v>
      </c>
      <c r="D8" s="43">
        <v>1.67</v>
      </c>
    </row>
    <row r="9" spans="2:11" x14ac:dyDescent="0.25">
      <c r="B9" s="40" t="s">
        <v>34</v>
      </c>
      <c r="C9" s="43">
        <v>7.8E-2</v>
      </c>
      <c r="D9" s="43">
        <v>4.92</v>
      </c>
      <c r="G9" s="478" t="s">
        <v>72</v>
      </c>
      <c r="H9" s="479"/>
    </row>
    <row r="10" spans="2:11" x14ac:dyDescent="0.25">
      <c r="B10" s="40" t="s">
        <v>35</v>
      </c>
      <c r="C10" s="43">
        <v>7.8E-2</v>
      </c>
      <c r="D10" s="43">
        <v>7.04</v>
      </c>
      <c r="G10" s="49">
        <f>AVERAGE(P22:T36)</f>
        <v>0.24614809569109478</v>
      </c>
      <c r="H10" s="50" t="s">
        <v>73</v>
      </c>
    </row>
    <row r="11" spans="2:11" x14ac:dyDescent="0.25">
      <c r="B11" s="40" t="s">
        <v>36</v>
      </c>
      <c r="C11" s="43">
        <v>0.16400000000000001</v>
      </c>
      <c r="D11" s="43">
        <v>4.7300000000000004</v>
      </c>
      <c r="G11" s="49">
        <f>AVERAGE(P22:S36)</f>
        <v>0.24479383948325778</v>
      </c>
      <c r="H11" s="50" t="s">
        <v>74</v>
      </c>
    </row>
    <row r="12" spans="2:11" x14ac:dyDescent="0.25">
      <c r="B12" s="40" t="s">
        <v>58</v>
      </c>
      <c r="C12" s="43">
        <v>0.123</v>
      </c>
      <c r="D12" s="43">
        <v>9.0500000000000007</v>
      </c>
    </row>
    <row r="13" spans="2:11" x14ac:dyDescent="0.25">
      <c r="B13" s="41" t="s">
        <v>28</v>
      </c>
      <c r="C13" s="43">
        <v>0.16700000000000001</v>
      </c>
      <c r="D13" s="43">
        <v>1.23</v>
      </c>
    </row>
    <row r="14" spans="2:11" x14ac:dyDescent="0.25">
      <c r="B14" s="41" t="s">
        <v>25</v>
      </c>
      <c r="C14" s="43">
        <v>8.1000000000000003E-2</v>
      </c>
      <c r="D14" s="43">
        <v>3.633</v>
      </c>
    </row>
    <row r="15" spans="2:11" x14ac:dyDescent="0.25">
      <c r="B15" s="41" t="s">
        <v>26</v>
      </c>
      <c r="C15" s="43">
        <v>8.1000000000000003E-2</v>
      </c>
      <c r="D15" s="43">
        <v>5.194</v>
      </c>
    </row>
    <row r="16" spans="2:11" x14ac:dyDescent="0.25">
      <c r="B16" s="41" t="s">
        <v>27</v>
      </c>
      <c r="C16" s="43">
        <v>0.16700000000000001</v>
      </c>
      <c r="D16" s="43">
        <v>3.4910000000000001</v>
      </c>
    </row>
    <row r="17" spans="2:20" x14ac:dyDescent="0.25">
      <c r="B17" s="41" t="s">
        <v>57</v>
      </c>
      <c r="C17" s="43">
        <v>0.125</v>
      </c>
      <c r="D17" s="43">
        <v>6.6779999999999999</v>
      </c>
    </row>
    <row r="18" spans="2:20" x14ac:dyDescent="0.25">
      <c r="B18" s="42" t="s">
        <v>1</v>
      </c>
      <c r="C18" s="48">
        <v>0.14153333333333334</v>
      </c>
      <c r="D18" s="43">
        <f>AVERAGE(D3:D17)</f>
        <v>5.8725333333333332</v>
      </c>
    </row>
    <row r="20" spans="2:20" x14ac:dyDescent="0.25">
      <c r="C20" s="168" t="s">
        <v>69</v>
      </c>
      <c r="J20" s="476" t="s">
        <v>195</v>
      </c>
      <c r="K20" s="476"/>
      <c r="P20" s="476" t="s">
        <v>71</v>
      </c>
      <c r="Q20" s="476"/>
    </row>
    <row r="21" spans="2:20" x14ac:dyDescent="0.25">
      <c r="B21" s="170" t="s">
        <v>196</v>
      </c>
      <c r="C21" s="33">
        <v>100</v>
      </c>
      <c r="D21" s="34">
        <v>75</v>
      </c>
      <c r="E21" s="33">
        <v>50</v>
      </c>
      <c r="F21" s="33">
        <v>25</v>
      </c>
      <c r="G21" s="33">
        <v>1</v>
      </c>
      <c r="J21" s="33">
        <v>100</v>
      </c>
      <c r="K21" s="34">
        <v>75</v>
      </c>
      <c r="L21" s="33">
        <v>50</v>
      </c>
      <c r="M21" s="33">
        <v>25</v>
      </c>
      <c r="N21" s="33">
        <v>1</v>
      </c>
      <c r="P21" s="33">
        <v>100</v>
      </c>
      <c r="Q21" s="34">
        <v>75</v>
      </c>
      <c r="R21" s="33">
        <v>50</v>
      </c>
      <c r="S21" s="33">
        <v>25</v>
      </c>
      <c r="T21" s="33">
        <v>1</v>
      </c>
    </row>
    <row r="22" spans="2:20" x14ac:dyDescent="0.25">
      <c r="B22" s="30" t="s">
        <v>21</v>
      </c>
      <c r="C22" s="29">
        <v>2.0659999999999998</v>
      </c>
      <c r="D22" s="35">
        <v>1.9930000000000001</v>
      </c>
      <c r="E22" s="29">
        <v>1.929</v>
      </c>
      <c r="F22" s="29">
        <v>1.7989999999999999</v>
      </c>
      <c r="G22" s="29">
        <v>4.1130000000000004</v>
      </c>
      <c r="J22" s="29">
        <f>K3</f>
        <v>1.93</v>
      </c>
      <c r="K22" s="29">
        <v>1.93</v>
      </c>
      <c r="L22" s="29">
        <v>1.93</v>
      </c>
      <c r="M22" s="29">
        <v>1.93</v>
      </c>
      <c r="N22" s="29">
        <v>1.93</v>
      </c>
      <c r="P22" s="36">
        <f t="shared" ref="P22:P31" si="0">ABS(1-(J22/C22))</f>
        <v>6.5827686350435566E-2</v>
      </c>
      <c r="Q22" s="36">
        <f t="shared" ref="Q22:Q31" si="1">ABS(1-(K22/D22))</f>
        <v>3.1610637230306105E-2</v>
      </c>
      <c r="R22" s="36">
        <f t="shared" ref="R22:R31" si="2">ABS(1-(L22/E22))</f>
        <v>5.1840331778119086E-4</v>
      </c>
      <c r="S22" s="36">
        <f t="shared" ref="S22:S31" si="3">ABS(1-(M22/F22))</f>
        <v>7.2818232351306245E-2</v>
      </c>
      <c r="T22" s="36">
        <f t="shared" ref="T22:T31" si="4">ABS(1-(N22/G22))</f>
        <v>0.53075613907123764</v>
      </c>
    </row>
    <row r="23" spans="2:20" x14ac:dyDescent="0.25">
      <c r="B23" s="30" t="s">
        <v>16</v>
      </c>
      <c r="C23" s="29">
        <v>3.7320000000000002</v>
      </c>
      <c r="D23" s="35">
        <v>3.7570000000000001</v>
      </c>
      <c r="E23" s="29">
        <v>3.802</v>
      </c>
      <c r="F23" s="29">
        <v>3.9430000000000001</v>
      </c>
      <c r="G23" s="29">
        <v>7.21</v>
      </c>
      <c r="J23" s="29">
        <f>($J$22+($G$3*$G$7))*(J21^-$C$18)</f>
        <v>2.7316833145412467</v>
      </c>
      <c r="K23" s="29">
        <f>($J$22+($G$3*$G$7))*(K21^-$C$18)</f>
        <v>2.8452035755313778</v>
      </c>
      <c r="L23" s="29">
        <f>($J$22+($G$3*$G$7))*(L21^-$C$18)</f>
        <v>3.0132566845408539</v>
      </c>
      <c r="M23" s="29">
        <f>($J$22+($G$3*$G$7))*(M21^-$C$18)</f>
        <v>3.323853756618552</v>
      </c>
      <c r="N23" s="29">
        <f>($J$22+($G$3*$G$7))*(N21^-$C$18)</f>
        <v>5.242</v>
      </c>
      <c r="P23" s="36">
        <f t="shared" si="0"/>
        <v>0.26803769706826186</v>
      </c>
      <c r="Q23" s="36">
        <f t="shared" si="1"/>
        <v>0.24269268684285927</v>
      </c>
      <c r="R23" s="36">
        <f t="shared" si="2"/>
        <v>0.20745484362418365</v>
      </c>
      <c r="S23" s="36">
        <f t="shared" si="3"/>
        <v>0.15702415505489431</v>
      </c>
      <c r="T23" s="36">
        <f t="shared" si="4"/>
        <v>0.27295423023578358</v>
      </c>
    </row>
    <row r="24" spans="2:20" x14ac:dyDescent="0.25">
      <c r="B24" s="30" t="s">
        <v>17</v>
      </c>
      <c r="C24" s="29">
        <v>5.3350518723994442</v>
      </c>
      <c r="D24" s="35">
        <v>5.3707904299583902</v>
      </c>
      <c r="E24" s="29">
        <v>5.4351198335644924</v>
      </c>
      <c r="F24" s="29">
        <v>5.636685298196948</v>
      </c>
      <c r="G24" s="29">
        <v>10.306999999999999</v>
      </c>
      <c r="J24" s="29">
        <f>($J$22+($G$3*$I$7))*(J21^-$C$18)</f>
        <v>4.4576152370442248</v>
      </c>
      <c r="K24" s="29">
        <f>($J$22+($G$3*$I$7))*(K21^-$C$18)</f>
        <v>4.6428598598045419</v>
      </c>
      <c r="L24" s="29">
        <f>($J$22+($G$3*$I$7))*(L21^-$C$18)</f>
        <v>4.9170922700424393</v>
      </c>
      <c r="M24" s="29">
        <f>($J$22+($G$3*$I$7))*(M21^-$C$18)</f>
        <v>5.4239307581295488</v>
      </c>
      <c r="N24" s="29">
        <f>($J$22+($G$3*$I$7))*(N21^-$C$18)</f>
        <v>8.5540000000000003</v>
      </c>
      <c r="P24" s="36">
        <f t="shared" si="0"/>
        <v>0.16446637377502982</v>
      </c>
      <c r="Q24" s="36">
        <f t="shared" si="1"/>
        <v>0.13553509109077044</v>
      </c>
      <c r="R24" s="36">
        <f t="shared" si="2"/>
        <v>9.5311157690209924E-2</v>
      </c>
      <c r="S24" s="36">
        <f t="shared" si="3"/>
        <v>3.7744619188773032E-2</v>
      </c>
      <c r="T24" s="36">
        <f t="shared" si="4"/>
        <v>0.17007858736780812</v>
      </c>
    </row>
    <row r="25" spans="2:20" x14ac:dyDescent="0.25">
      <c r="B25" s="30" t="s">
        <v>24</v>
      </c>
      <c r="C25" s="29">
        <v>2.3363999999999998</v>
      </c>
      <c r="D25" s="35">
        <v>2.4166400000000001</v>
      </c>
      <c r="E25" s="29">
        <v>2.6042599999999996</v>
      </c>
      <c r="F25" s="29">
        <v>3.13998</v>
      </c>
      <c r="G25" s="29">
        <v>6.7590399999999997</v>
      </c>
      <c r="J25" s="29">
        <f>($J$22+($G$7*$H$3))*(J21^-$C$18)</f>
        <v>2.348142887318363</v>
      </c>
      <c r="K25" s="29">
        <f>($J$22+($G$7*$H$3))*(K21^-$C$18)</f>
        <v>2.4457244012484529</v>
      </c>
      <c r="L25" s="29">
        <f>($J$22+($G$7*$H$3))*(L21^-$C$18)</f>
        <v>2.5901821099849465</v>
      </c>
      <c r="M25" s="29">
        <f>($J$22+($G$7*$H$3))*(M21^-$C$18)</f>
        <v>2.8571699785049973</v>
      </c>
      <c r="N25" s="29">
        <f>($J$22+($G$7*$H$3))*(N21^-$C$18)</f>
        <v>4.5060000000000002</v>
      </c>
      <c r="P25" s="36">
        <f t="shared" si="0"/>
        <v>5.0260603143139626E-3</v>
      </c>
      <c r="Q25" s="36">
        <f t="shared" si="1"/>
        <v>1.2035057455166198E-2</v>
      </c>
      <c r="R25" s="36">
        <f t="shared" si="2"/>
        <v>5.4057160249180169E-3</v>
      </c>
      <c r="S25" s="36">
        <f t="shared" si="3"/>
        <v>9.0067459504519998E-2</v>
      </c>
      <c r="T25" s="36">
        <f t="shared" si="4"/>
        <v>0.33333727866679286</v>
      </c>
    </row>
    <row r="26" spans="2:20" x14ac:dyDescent="0.25">
      <c r="B26" s="30" t="s">
        <v>20</v>
      </c>
      <c r="C26" s="29">
        <v>5.4989414159353798</v>
      </c>
      <c r="D26" s="35">
        <v>5.6117858948117112</v>
      </c>
      <c r="E26" s="29">
        <v>5.8632341968840578</v>
      </c>
      <c r="F26" s="29">
        <v>6.5750157356313963</v>
      </c>
      <c r="G26" s="29">
        <v>13.088000000000001</v>
      </c>
      <c r="J26" s="29">
        <f>($J$22+($G$3*$I$7)+($G$7*$H$3))*(J21^-$C$18)</f>
        <v>5.8000067323243183</v>
      </c>
      <c r="K26" s="29">
        <f>($J$22+($G$3*$I$7)+($G$7*$H$3))*(K21^-$C$18)</f>
        <v>6.0410369697947806</v>
      </c>
      <c r="L26" s="29">
        <f>($J$22+($G$3*$I$7)+($G$7*$H$3))*(L21^-$C$18)</f>
        <v>6.3978532809881168</v>
      </c>
      <c r="M26" s="29">
        <f>($J$22+($G$3*$I$7)+($G$7*$H$3))*(M21^-$C$18)</f>
        <v>7.0573239815269915</v>
      </c>
      <c r="N26" s="29">
        <f>($J$22+($G$3*$I$7)+($G$7*$H$3))*(N21^-$C$18)</f>
        <v>11.13</v>
      </c>
      <c r="P26" s="36">
        <f t="shared" si="0"/>
        <v>5.4749686097124384E-2</v>
      </c>
      <c r="Q26" s="36">
        <f t="shared" si="1"/>
        <v>7.6490992890503318E-2</v>
      </c>
      <c r="R26" s="36">
        <f t="shared" si="2"/>
        <v>9.1181601510677446E-2</v>
      </c>
      <c r="S26" s="36">
        <f t="shared" si="3"/>
        <v>7.3354690739653394E-2</v>
      </c>
      <c r="T26" s="36">
        <f t="shared" si="4"/>
        <v>0.14960268948655253</v>
      </c>
    </row>
    <row r="27" spans="2:20" x14ac:dyDescent="0.25">
      <c r="B27" s="31" t="s">
        <v>39</v>
      </c>
      <c r="C27" s="29">
        <v>1.2395999999999998</v>
      </c>
      <c r="D27" s="29">
        <v>1.1958</v>
      </c>
      <c r="E27" s="29">
        <v>1.1574</v>
      </c>
      <c r="F27" s="29">
        <v>1.0793999999999999</v>
      </c>
      <c r="G27" s="29">
        <v>2.4678</v>
      </c>
      <c r="J27" s="29">
        <f>($J$22-($I$3*$G$7))*(J21^-$C$18)</f>
        <v>0.85233522114911542</v>
      </c>
      <c r="K27" s="29">
        <f>($J$22-($I$3*$G$7))*(K21^-$C$18)</f>
        <v>0.88775562154504417</v>
      </c>
      <c r="L27" s="29">
        <f>($J$22-($I$3*$G$7))*(L21^-$C$18)</f>
        <v>0.94019126921690588</v>
      </c>
      <c r="M27" s="29">
        <f>($J$22-($I$3*$G$7))*(M21^-$C$18)</f>
        <v>1.0371032438621335</v>
      </c>
      <c r="N27" s="29">
        <f>($J$22-($I$3*$G$7))*(N21^-$C$18)</f>
        <v>1.6355999999999999</v>
      </c>
      <c r="P27" s="36">
        <f t="shared" si="0"/>
        <v>0.31241108329371126</v>
      </c>
      <c r="Q27" s="36">
        <f t="shared" si="1"/>
        <v>0.25760526714747933</v>
      </c>
      <c r="R27" s="36">
        <f t="shared" si="2"/>
        <v>0.18766954448167794</v>
      </c>
      <c r="S27" s="36">
        <f t="shared" si="3"/>
        <v>3.9185432775492357E-2</v>
      </c>
      <c r="T27" s="36">
        <f t="shared" si="4"/>
        <v>0.33722343787989306</v>
      </c>
    </row>
    <row r="28" spans="2:20" x14ac:dyDescent="0.25">
      <c r="B28" s="31" t="s">
        <v>34</v>
      </c>
      <c r="C28" s="29">
        <v>2.2391999999999999</v>
      </c>
      <c r="D28" s="29">
        <v>2.2542</v>
      </c>
      <c r="E28" s="29">
        <v>2.2812000000000001</v>
      </c>
      <c r="F28" s="29">
        <v>2.3658000000000001</v>
      </c>
      <c r="G28" s="29">
        <v>4.3259999999999996</v>
      </c>
      <c r="J28" s="29">
        <f>($J$22+($G$3*$G$7)-($I$3*$G$7))*(J21^-$C$18)</f>
        <v>2.5782671436520928</v>
      </c>
      <c r="K28" s="29">
        <f>($J$22+($G$3*$G$7)-($I$3*$G$7))*(K21^-$C$18)</f>
        <v>2.6854119058182078</v>
      </c>
      <c r="L28" s="29">
        <f>($J$22+($G$3*$G$7)-($I$3*$G$7))*(L21^-$C$18)</f>
        <v>2.8440268547184906</v>
      </c>
      <c r="M28" s="29">
        <f>($J$22+($G$3*$G$7)-($I$3*$G$7))*(M21^-$C$18)</f>
        <v>3.1371802453731297</v>
      </c>
      <c r="N28" s="29">
        <f>($J$22+($G$3*$G$7)-($I$3*$G$7))*(N21^-$C$18)</f>
        <v>4.9475999999999996</v>
      </c>
      <c r="P28" s="36">
        <f t="shared" si="0"/>
        <v>0.15142334032337135</v>
      </c>
      <c r="Q28" s="36">
        <f t="shared" si="1"/>
        <v>0.19129265629412107</v>
      </c>
      <c r="R28" s="36">
        <f t="shared" si="2"/>
        <v>0.24672402889640987</v>
      </c>
      <c r="S28" s="36">
        <f t="shared" si="3"/>
        <v>0.32605471526465868</v>
      </c>
      <c r="T28" s="36">
        <f t="shared" si="4"/>
        <v>0.14368932038834958</v>
      </c>
    </row>
    <row r="29" spans="2:20" x14ac:dyDescent="0.25">
      <c r="B29" s="31" t="s">
        <v>35</v>
      </c>
      <c r="C29" s="29">
        <v>3.2010311234396664</v>
      </c>
      <c r="D29" s="29">
        <v>3.2224742579750338</v>
      </c>
      <c r="E29" s="29">
        <v>3.2610719001386954</v>
      </c>
      <c r="F29" s="29">
        <v>3.3820111789181686</v>
      </c>
      <c r="G29" s="29">
        <v>6.1841999999999988</v>
      </c>
      <c r="J29" s="29">
        <f>($J$22+($G$3*$I$7)-($I$3*$G$7))*(J21^-$C$18)</f>
        <v>4.3041990661550713</v>
      </c>
      <c r="K29" s="29">
        <f>($J$22+($G$3*$I$7)-($I$3*$G$7))*(K21^-$C$18)</f>
        <v>4.4830681900913723</v>
      </c>
      <c r="L29" s="29">
        <f>($J$22+($G$3*$I$7)-($I$3*$G$7))*(L21^-$C$18)</f>
        <v>4.747862440220076</v>
      </c>
      <c r="M29" s="29">
        <f>($J$22+($G$3*$I$7)-($I$3*$G$7))*(M21^-$C$18)</f>
        <v>5.237257246884127</v>
      </c>
      <c r="N29" s="29">
        <f>($J$22+($G$3*$I$7)-($I$3*$G$7))*(N21^-$C$18)</f>
        <v>8.2596000000000007</v>
      </c>
      <c r="P29" s="36">
        <f t="shared" si="0"/>
        <v>0.34462893366997194</v>
      </c>
      <c r="Q29" s="36">
        <f t="shared" si="1"/>
        <v>0.39118820856259728</v>
      </c>
      <c r="R29" s="36">
        <f t="shared" si="2"/>
        <v>0.45592080935662493</v>
      </c>
      <c r="S29" s="36">
        <f t="shared" si="3"/>
        <v>0.54856296145047367</v>
      </c>
      <c r="T29" s="36">
        <f t="shared" si="4"/>
        <v>0.33559716697390152</v>
      </c>
    </row>
    <row r="30" spans="2:20" x14ac:dyDescent="0.25">
      <c r="B30" s="31" t="s">
        <v>36</v>
      </c>
      <c r="C30" s="29">
        <v>1.4018399999999998</v>
      </c>
      <c r="D30" s="29">
        <v>1.4499839999999999</v>
      </c>
      <c r="E30" s="29">
        <v>1.5625559999999996</v>
      </c>
      <c r="F30" s="29">
        <v>1.883988</v>
      </c>
      <c r="G30" s="29">
        <v>4.0554239999999995</v>
      </c>
      <c r="J30" s="29">
        <f>($J$22+($G$7*$H$3)-($I$3*$G$7))*(J21^-$C$18)</f>
        <v>2.1947267164292095</v>
      </c>
      <c r="K30" s="29">
        <f>($J$22+($G$7*$H$3)-($I$3*$G$7))*(K21^-$C$18)</f>
        <v>2.2859327315352829</v>
      </c>
      <c r="L30" s="29">
        <f>($J$22+($G$7*$H$3)-($I$3*$G$7))*(L21^-$C$18)</f>
        <v>2.4209522801625836</v>
      </c>
      <c r="M30" s="29">
        <f>($J$22+($G$7*$H$3)-($I$3*$G$7))*(M21^-$C$18)</f>
        <v>2.6704964672595759</v>
      </c>
      <c r="N30" s="29">
        <f>($J$22+($G$7*$H$3)-($I$3*$G$7))*(N21^-$C$18)</f>
        <v>4.2116000000000007</v>
      </c>
      <c r="P30" s="36">
        <f t="shared" si="0"/>
        <v>0.56560428895538006</v>
      </c>
      <c r="Q30" s="36">
        <f t="shared" si="1"/>
        <v>0.57652272820616157</v>
      </c>
      <c r="R30" s="36">
        <f t="shared" si="2"/>
        <v>0.54935393045918612</v>
      </c>
      <c r="S30" s="36">
        <f t="shared" si="3"/>
        <v>0.41746999835432907</v>
      </c>
      <c r="T30" s="36">
        <f t="shared" si="4"/>
        <v>3.8510399898999736E-2</v>
      </c>
    </row>
    <row r="31" spans="2:20" x14ac:dyDescent="0.25">
      <c r="B31" s="31" t="s">
        <v>58</v>
      </c>
      <c r="C31" s="29">
        <v>3.2993648495612278</v>
      </c>
      <c r="D31" s="29">
        <v>3.3670715368870265</v>
      </c>
      <c r="E31" s="29">
        <v>3.5179405181304344</v>
      </c>
      <c r="F31" s="29">
        <v>3.9450094413788377</v>
      </c>
      <c r="G31" s="29">
        <v>7.8528000000000002</v>
      </c>
      <c r="J31" s="29">
        <f>($J$22+($G$7*$H$3)-($I$3*$G$7)+($G$3*$I$7))*(J21^-$C$18)</f>
        <v>5.6465905614351657</v>
      </c>
      <c r="K31" s="29">
        <f>($J$22+($G$7*$H$3)-($I$3*$G$7)+($G$3*$I$7))*(K21^-$C$18)</f>
        <v>5.8812453000816109</v>
      </c>
      <c r="L31" s="29">
        <f>($J$22+($G$7*$H$3)-($I$3*$G$7)+($G$3*$I$7))*(L21^-$C$18)</f>
        <v>6.2286234511657543</v>
      </c>
      <c r="M31" s="29">
        <f>($J$22+($G$7*$H$3)-($I$3*$G$7)+($G$3*$I$7))*(M21^-$C$18)</f>
        <v>6.8706504702815696</v>
      </c>
      <c r="N31" s="29">
        <f>($J$22+($G$7*$H$3)-($I$3*$G$7)+($G$3*$I$7))*(N21^-$C$18)</f>
        <v>10.835600000000001</v>
      </c>
      <c r="P31" s="36">
        <f t="shared" si="0"/>
        <v>0.71141744514435512</v>
      </c>
      <c r="Q31" s="36">
        <f t="shared" si="1"/>
        <v>0.74669448975207242</v>
      </c>
      <c r="R31" s="36">
        <f t="shared" si="2"/>
        <v>0.77053120115739726</v>
      </c>
      <c r="S31" s="36">
        <f t="shared" si="3"/>
        <v>0.74160558355474504</v>
      </c>
      <c r="T31" s="36">
        <f t="shared" si="4"/>
        <v>0.3798390383048087</v>
      </c>
    </row>
    <row r="32" spans="2:20" x14ac:dyDescent="0.25">
      <c r="B32" s="32" t="s">
        <v>28</v>
      </c>
      <c r="C32" s="29">
        <v>1.2024119999999998</v>
      </c>
      <c r="D32" s="29">
        <v>1.159926</v>
      </c>
      <c r="E32" s="29">
        <v>1.1226780000000001</v>
      </c>
      <c r="F32" s="29">
        <v>1.0470179999999998</v>
      </c>
      <c r="G32" s="29">
        <v>2.3937659999999998</v>
      </c>
      <c r="J32" s="37">
        <f>($J$22-($I$3*$G$7)-($J$3*$G$7))*(J21^-$C$18)</f>
        <v>-0.10651584690809447</v>
      </c>
      <c r="K32" s="37">
        <f>($J$22-($I$3*$G$7)-($J$3*$G$7))*(K21^-$C$18)</f>
        <v>-0.11094231416226899</v>
      </c>
      <c r="L32" s="37">
        <f>($J$22-($I$3*$G$7)-($J$3*$G$7))*(L21^-$C$18)</f>
        <v>-0.1174951671728636</v>
      </c>
      <c r="M32" s="37">
        <f>($J$22-($I$3*$G$7)-($J$3*$G$7))*(M21^-$C$18)</f>
        <v>-0.12960620142175364</v>
      </c>
      <c r="N32" s="37">
        <f>($J$22-($I$3*$G$7)-($J$3*$G$7))*(N21^-$C$18)</f>
        <v>-0.20440000000000014</v>
      </c>
      <c r="P32" s="36">
        <v>0</v>
      </c>
      <c r="Q32" s="36">
        <v>0</v>
      </c>
      <c r="R32" s="36">
        <v>0</v>
      </c>
      <c r="S32" s="36">
        <v>0</v>
      </c>
      <c r="T32" s="36">
        <v>0</v>
      </c>
    </row>
    <row r="33" spans="2:20" x14ac:dyDescent="0.25">
      <c r="B33" s="32" t="s">
        <v>25</v>
      </c>
      <c r="C33" s="29">
        <v>2.172024</v>
      </c>
      <c r="D33" s="29">
        <v>2.1865739999999998</v>
      </c>
      <c r="E33" s="29">
        <v>2.212764</v>
      </c>
      <c r="F33" s="29">
        <v>2.294826</v>
      </c>
      <c r="G33" s="29">
        <v>4.1962199999999994</v>
      </c>
      <c r="J33" s="29">
        <f>($J$22-($I$3*$G$7)+($G$3*$G$7)-($J$3*$G$7))*(J21^-$C$18)</f>
        <v>1.6194160755948837</v>
      </c>
      <c r="K33" s="29">
        <f>($J$22-($I$3*$G$7)+($G$3*$G$7)-($J$3*$G$7))*(K21^-$C$18)</f>
        <v>1.6867139701108951</v>
      </c>
      <c r="L33" s="29">
        <f>($J$22-($I$3*$G$7)+($G$3*$G$7)-($J$3*$G$7))*(L21^-$C$18)</f>
        <v>1.7863404183287219</v>
      </c>
      <c r="M33" s="29">
        <f>($J$22-($I$3*$G$7)+($G$3*$G$7)-($J$3*$G$7))*(M21^-$C$18)</f>
        <v>1.9704708000892435</v>
      </c>
      <c r="N33" s="29">
        <f>($J$22-($I$3*$G$7)+($G$3*$G$7)-($J$3*$G$7))*(N21^-$C$18)</f>
        <v>3.1076000000000006</v>
      </c>
      <c r="P33" s="36">
        <f t="shared" ref="P33:T36" si="5">ABS(1-(J33/C33))</f>
        <v>0.2544207266609928</v>
      </c>
      <c r="Q33" s="36">
        <f t="shared" si="5"/>
        <v>0.22860421366443795</v>
      </c>
      <c r="R33" s="36">
        <f t="shared" si="5"/>
        <v>0.19271082757640579</v>
      </c>
      <c r="S33" s="36">
        <f t="shared" si="5"/>
        <v>0.1413419579134787</v>
      </c>
      <c r="T33" s="36">
        <f t="shared" si="5"/>
        <v>0.25942872394678995</v>
      </c>
    </row>
    <row r="34" spans="2:20" x14ac:dyDescent="0.25">
      <c r="B34" s="32" t="s">
        <v>26</v>
      </c>
      <c r="C34" s="29">
        <v>3.1050001897364763</v>
      </c>
      <c r="D34" s="29">
        <v>3.1258000302357827</v>
      </c>
      <c r="E34" s="29">
        <v>3.1632397431345343</v>
      </c>
      <c r="F34" s="29">
        <v>3.2805508435506234</v>
      </c>
      <c r="G34" s="29">
        <v>5.9986739999999985</v>
      </c>
      <c r="J34" s="29">
        <f>($J$22-($I$3*$G$7)+($G$3*$I$7)-($J$3*$G$7))*(J21^-$C$18)</f>
        <v>3.3453479980978615</v>
      </c>
      <c r="K34" s="29">
        <f>($J$22-($I$3*$G$7)+($G$3*$I$7)-($J$3*$G$7))*(K21^-$C$18)</f>
        <v>3.4843702543840589</v>
      </c>
      <c r="L34" s="29">
        <f>($J$22-($I$3*$G$7)+($G$3*$I$7)-($J$3*$G$7))*(L21^-$C$18)</f>
        <v>3.6901760038303069</v>
      </c>
      <c r="M34" s="29">
        <f>($J$22-($I$3*$G$7)+($G$3*$I$7)-($J$3*$G$7))*(M21^-$C$18)</f>
        <v>4.0705478016002399</v>
      </c>
      <c r="N34" s="29">
        <f>($J$22-($I$3*$G$7)+($G$3*$I$7)-($J$3*$G$7))*(N21^-$C$18)</f>
        <v>6.4196000000000009</v>
      </c>
      <c r="P34" s="36">
        <f t="shared" si="5"/>
        <v>7.7406696835591315E-2</v>
      </c>
      <c r="Q34" s="36">
        <f t="shared" si="5"/>
        <v>0.11471310406290725</v>
      </c>
      <c r="R34" s="36">
        <f t="shared" si="5"/>
        <v>0.16658119633183999</v>
      </c>
      <c r="S34" s="36">
        <f t="shared" si="5"/>
        <v>0.24081228907111907</v>
      </c>
      <c r="T34" s="36">
        <f t="shared" si="5"/>
        <v>7.0169840868165689E-2</v>
      </c>
    </row>
    <row r="35" spans="2:20" x14ac:dyDescent="0.25">
      <c r="B35" s="32" t="s">
        <v>27</v>
      </c>
      <c r="C35" s="29">
        <v>1.3597847999999997</v>
      </c>
      <c r="D35" s="29">
        <v>1.4064844799999998</v>
      </c>
      <c r="E35" s="29">
        <v>1.5156793199999996</v>
      </c>
      <c r="F35" s="29">
        <v>1.8274683599999999</v>
      </c>
      <c r="G35" s="29">
        <v>3.9337612799999992</v>
      </c>
      <c r="J35" s="29">
        <f>($J$22+($G$7*$H$3)-($I$3*$G$7)-($J$3*$G$7))*(J26^-$C$18)</f>
        <v>1.849229707336068</v>
      </c>
      <c r="K35" s="29">
        <f>($J$22+($G$7*$H$3)-($I$3*$G$7)-($J$3*$G$7))*(K26^-$C$18)</f>
        <v>1.8386036937992942</v>
      </c>
      <c r="L35" s="29">
        <f>($J$22+($G$7*$H$3)-($I$3*$G$7)-($J$3*$G$7))*(L26^-$C$18)</f>
        <v>1.8237307623110834</v>
      </c>
      <c r="M35" s="29">
        <f>($J$22+($G$7*$H$3)-($I$3*$G$7)-($J$3*$G$7))*(M26^-$C$18)</f>
        <v>1.7985834210889187</v>
      </c>
      <c r="N35" s="29">
        <f>($J$22+($G$7*$H$3)-($I$3*$G$7)-($J$3*$G$7))*(N26^-$C$18)</f>
        <v>1.6862714719182796</v>
      </c>
      <c r="P35" s="36">
        <f t="shared" si="5"/>
        <v>0.35994291694985003</v>
      </c>
      <c r="Q35" s="36">
        <f t="shared" si="5"/>
        <v>0.30723354572621697</v>
      </c>
      <c r="R35" s="36">
        <f t="shared" si="5"/>
        <v>0.20324315192944908</v>
      </c>
      <c r="S35" s="36">
        <f t="shared" si="5"/>
        <v>1.5805985779738019E-2</v>
      </c>
      <c r="T35" s="36">
        <f t="shared" si="5"/>
        <v>0.5713335528285336</v>
      </c>
    </row>
    <row r="36" spans="2:20" x14ac:dyDescent="0.25">
      <c r="B36" s="32" t="s">
        <v>57</v>
      </c>
      <c r="C36" s="29">
        <v>3.2003839040743909</v>
      </c>
      <c r="D36" s="29">
        <v>3.2660593907804158</v>
      </c>
      <c r="E36" s="29">
        <v>3.4124023025865213</v>
      </c>
      <c r="F36" s="29">
        <v>3.8266591581374723</v>
      </c>
      <c r="G36" s="29">
        <v>7.617216</v>
      </c>
      <c r="J36" s="29">
        <f>($J$22+($G$7*$H$3)-($I$3*$G$7)+($G$3*$I$7)-($J$3*$G$7))*(J21^-$C$18)</f>
        <v>4.6877394933779559</v>
      </c>
      <c r="K36" s="29">
        <f>($J$22+($G$7*$H$3)-($I$3*$G$7)+($G$3*$I$7)-($J$3*$G$7))*(K21^-$C$18)</f>
        <v>4.8825473643742976</v>
      </c>
      <c r="L36" s="29">
        <f>($J$22+($G$7*$H$3)-($I$3*$G$7)+($G$3*$I$7)-($J$3*$G$7))*(L21^-$C$18)</f>
        <v>5.1709370147759843</v>
      </c>
      <c r="M36" s="29">
        <f>($J$22+($G$7*$H$3)-($I$3*$G$7)+($G$3*$I$7)-($J$3*$G$7))*(M21^-$C$18)</f>
        <v>5.7039410249976825</v>
      </c>
      <c r="N36" s="29">
        <f>($J$22+($G$7*$H$3)-($I$3*$G$7)+($G$3*$I$7)-($J$3*$G$7))*(N21^-$C$18)</f>
        <v>8.9956000000000014</v>
      </c>
      <c r="P36" s="36">
        <f t="shared" si="5"/>
        <v>0.46474286644487273</v>
      </c>
      <c r="Q36" s="36">
        <f t="shared" si="5"/>
        <v>0.49493526607537475</v>
      </c>
      <c r="R36" s="36">
        <f t="shared" si="5"/>
        <v>0.51533628108753016</v>
      </c>
      <c r="S36" s="36">
        <f t="shared" si="5"/>
        <v>0.49057984766375928</v>
      </c>
      <c r="T36" s="36">
        <f t="shared" si="5"/>
        <v>0.18095640191902151</v>
      </c>
    </row>
    <row r="37" spans="2:20" x14ac:dyDescent="0.25">
      <c r="E37" s="477" t="s">
        <v>186</v>
      </c>
      <c r="F37" s="477"/>
      <c r="G37">
        <v>0.97</v>
      </c>
    </row>
    <row r="39" spans="2:20" x14ac:dyDescent="0.25">
      <c r="C39" s="476" t="s">
        <v>197</v>
      </c>
      <c r="D39" s="476"/>
      <c r="H39" s="476" t="s">
        <v>198</v>
      </c>
      <c r="I39" s="476"/>
    </row>
    <row r="40" spans="2:20" x14ac:dyDescent="0.25">
      <c r="C40" s="33">
        <v>100</v>
      </c>
      <c r="D40" s="34">
        <v>75</v>
      </c>
      <c r="E40" s="33">
        <v>50</v>
      </c>
      <c r="F40" s="33">
        <v>25</v>
      </c>
      <c r="G40" s="33">
        <v>1</v>
      </c>
      <c r="H40" s="33">
        <v>100</v>
      </c>
      <c r="I40" s="34">
        <v>75</v>
      </c>
      <c r="J40" s="33">
        <v>50</v>
      </c>
      <c r="K40" s="33">
        <v>25</v>
      </c>
      <c r="L40" s="33">
        <v>1</v>
      </c>
    </row>
    <row r="41" spans="2:20" x14ac:dyDescent="0.25">
      <c r="B41" s="30" t="s">
        <v>21</v>
      </c>
      <c r="C41" s="29">
        <v>2.0659999999999998</v>
      </c>
      <c r="D41" s="35">
        <v>1.9930000000000001</v>
      </c>
      <c r="E41" s="29">
        <v>1.929</v>
      </c>
      <c r="F41" s="29">
        <v>1.7989999999999999</v>
      </c>
      <c r="G41" s="29">
        <v>4.1130000000000004</v>
      </c>
      <c r="H41" s="29"/>
      <c r="I41" s="29"/>
      <c r="J41" s="29"/>
      <c r="K41" s="29"/>
      <c r="L41" s="29"/>
    </row>
    <row r="42" spans="2:20" x14ac:dyDescent="0.25">
      <c r="B42" s="30" t="s">
        <v>24</v>
      </c>
      <c r="C42" s="29">
        <v>2.3363999999999998</v>
      </c>
      <c r="D42" s="35">
        <v>2.4166400000000001</v>
      </c>
      <c r="E42" s="29">
        <v>2.6042599999999996</v>
      </c>
      <c r="F42" s="29">
        <v>3.13998</v>
      </c>
      <c r="G42" s="29">
        <v>6.7590399999999997</v>
      </c>
      <c r="H42" s="29"/>
      <c r="I42" s="29"/>
      <c r="J42" s="29"/>
      <c r="K42" s="29"/>
      <c r="L42" s="29"/>
    </row>
    <row r="43" spans="2:20" x14ac:dyDescent="0.25">
      <c r="B43" s="30" t="s">
        <v>20</v>
      </c>
      <c r="C43" s="29">
        <f>($J$22+($G$3*$I$7)+($G$7*$H$3))*(C40^-$C$18)</f>
        <v>5.8000067323243183</v>
      </c>
      <c r="D43" s="29">
        <f>($J$22+($G$3*$I$7)+($G$7*$H$3))*(D40^-$C$18)</f>
        <v>6.0410369697947806</v>
      </c>
      <c r="E43" s="29">
        <f>($J$22+($G$3*$I$7)+($G$7*$H$3))*(E40^-$C$18)</f>
        <v>6.3978532809881168</v>
      </c>
      <c r="F43" s="29">
        <f>($J$22+($G$3*$I$7)+($G$7*$H$3))*(F40^-$C$18)</f>
        <v>7.0573239815269915</v>
      </c>
      <c r="G43" s="29">
        <f>($J$22+($G$3*$I$7)+($G$7*$H$3))*(G40^-$C$18)</f>
        <v>11.13</v>
      </c>
      <c r="H43" s="29"/>
      <c r="I43" s="29"/>
      <c r="J43" s="29"/>
      <c r="K43" s="29"/>
      <c r="L43" s="29"/>
    </row>
    <row r="44" spans="2:20" x14ac:dyDescent="0.25">
      <c r="B44" s="31" t="s">
        <v>36</v>
      </c>
      <c r="C44" s="29">
        <f>($J$22+($G$7*$H$3)-($I$3*$G$7))*(C40^-$C$18)</f>
        <v>2.1947267164292095</v>
      </c>
      <c r="D44" s="29">
        <f>($J$22+($G$7*$H$3)-($I$3*$G$7))*(D40^-$C$18)</f>
        <v>2.2859327315352829</v>
      </c>
      <c r="E44" s="29">
        <f>($J$22+($G$7*$H$3)-($I$3*$G$7))*(E40^-$C$18)</f>
        <v>2.4209522801625836</v>
      </c>
      <c r="F44" s="29">
        <f>($J$22+($G$7*$H$3)-($I$3*$G$7))*(F40^-$C$18)</f>
        <v>2.6704964672595759</v>
      </c>
      <c r="G44" s="29">
        <f>($J$22+($G$7*$H$3)-($I$3*$G$7))*(G40^-$C$18)</f>
        <v>4.2116000000000007</v>
      </c>
      <c r="H44" s="29"/>
      <c r="I44" s="29"/>
      <c r="J44" s="29"/>
      <c r="K44" s="29"/>
      <c r="L44" s="29"/>
    </row>
    <row r="45" spans="2:20" x14ac:dyDescent="0.25">
      <c r="B45" s="31" t="s">
        <v>58</v>
      </c>
      <c r="C45" s="29">
        <f>($J$22+($G$7*$H$3)-($I$3*$G$7)+($G$3*$I$7))*(C40^-$C$18)</f>
        <v>5.6465905614351657</v>
      </c>
      <c r="D45" s="29">
        <f>($J$22+($G$7*$H$3)-($I$3*$G$7)+($G$3*$I$7))*(D40^-$C$18)</f>
        <v>5.8812453000816109</v>
      </c>
      <c r="E45" s="29">
        <f>($J$22+($G$7*$H$3)-($I$3*$G$7)+($G$3*$I$7))*(E40^-$C$18)</f>
        <v>6.2286234511657543</v>
      </c>
      <c r="F45" s="29">
        <f>($J$22+($G$7*$H$3)-($I$3*$G$7)+($G$3*$I$7))*(F40^-$C$18)</f>
        <v>6.8706504702815696</v>
      </c>
      <c r="G45" s="29">
        <f>($J$22+($G$7*$H$3)-($I$3*$G$7)+($G$3*$I$7))*(G40^-$C$18)</f>
        <v>10.835600000000001</v>
      </c>
      <c r="H45" s="29"/>
      <c r="I45" s="29"/>
      <c r="J45" s="29"/>
      <c r="K45" s="29"/>
      <c r="L45" s="29"/>
    </row>
    <row r="46" spans="2:20" x14ac:dyDescent="0.25">
      <c r="B46" s="32" t="s">
        <v>27</v>
      </c>
      <c r="C46" s="29">
        <f>($J$22+($G$7*$H$3)-($I$3*$G$7)-($J$3*$G$7))*(C43^-$C$18)</f>
        <v>1.849229707336068</v>
      </c>
      <c r="D46" s="29">
        <f>($J$22+($G$7*$H$3)-($I$3*$G$7)-($J$3*$G$7))*(D43^-$C$18)</f>
        <v>1.8386036937992942</v>
      </c>
      <c r="E46" s="29">
        <f>($J$22+($G$7*$H$3)-($I$3*$G$7)-($J$3*$G$7))*(E43^-$C$18)</f>
        <v>1.8237307623110834</v>
      </c>
      <c r="F46" s="29">
        <f>($J$22+($G$7*$H$3)-($I$3*$G$7)-($J$3*$G$7))*(F43^-$C$18)</f>
        <v>1.7985834210889187</v>
      </c>
      <c r="G46" s="29">
        <f>($J$22+($G$7*$H$3)-($I$3*$G$7)-($J$3*$G$7))*(G43^-$C$18)</f>
        <v>1.6862714719182796</v>
      </c>
      <c r="H46" s="29"/>
      <c r="I46" s="29"/>
      <c r="J46" s="29"/>
      <c r="K46" s="29"/>
      <c r="L46" s="29"/>
    </row>
    <row r="47" spans="2:20" x14ac:dyDescent="0.25">
      <c r="B47" s="32" t="s">
        <v>57</v>
      </c>
      <c r="C47" s="29">
        <f>($J$22+($G$7*$H$3)-($I$3*$G$7)+($G$3*$I$7)-($J$3*$G$7))*(C40^-$C$18)</f>
        <v>4.6877394933779559</v>
      </c>
      <c r="D47" s="29">
        <f>($J$22+($G$7*$H$3)-($I$3*$G$7)+($G$3*$I$7)-($J$3*$G$7))*(D40^-$C$18)</f>
        <v>4.8825473643742976</v>
      </c>
      <c r="E47" s="29">
        <f>($J$22+($G$7*$H$3)-($I$3*$G$7)+($G$3*$I$7)-($J$3*$G$7))*(E40^-$C$18)</f>
        <v>5.1709370147759843</v>
      </c>
      <c r="F47" s="29">
        <f>($J$22+($G$7*$H$3)-($I$3*$G$7)+($G$3*$I$7)-($J$3*$G$7))*(F40^-$C$18)</f>
        <v>5.7039410249976825</v>
      </c>
      <c r="G47" s="29">
        <f>($J$22+($G$7*$H$3)-($I$3*$G$7)+($G$3*$I$7)-($J$3*$G$7))*(G40^-$C$18)</f>
        <v>8.9956000000000014</v>
      </c>
      <c r="H47" s="29"/>
      <c r="I47" s="29"/>
      <c r="J47" s="29"/>
      <c r="K47" s="29"/>
      <c r="L47" s="29"/>
    </row>
    <row r="49" spans="2:12" x14ac:dyDescent="0.25">
      <c r="C49" s="476" t="s">
        <v>199</v>
      </c>
      <c r="D49" s="476"/>
      <c r="H49" s="476" t="s">
        <v>200</v>
      </c>
      <c r="I49" s="476"/>
    </row>
    <row r="50" spans="2:12" x14ac:dyDescent="0.25">
      <c r="C50" s="33">
        <v>100</v>
      </c>
      <c r="D50" s="34">
        <v>75</v>
      </c>
      <c r="E50" s="33">
        <v>50</v>
      </c>
      <c r="F50" s="33">
        <v>25</v>
      </c>
      <c r="G50" s="33">
        <v>1</v>
      </c>
      <c r="H50" s="33">
        <v>100</v>
      </c>
      <c r="I50" s="34">
        <v>75</v>
      </c>
      <c r="J50" s="33">
        <v>50</v>
      </c>
      <c r="K50" s="33">
        <v>25</v>
      </c>
      <c r="L50" s="33">
        <v>1</v>
      </c>
    </row>
    <row r="51" spans="2:12" x14ac:dyDescent="0.25">
      <c r="B51" s="30" t="s">
        <v>21</v>
      </c>
      <c r="C51" s="29">
        <f>K33</f>
        <v>1.6867139701108951</v>
      </c>
      <c r="D51" s="29">
        <v>1.93</v>
      </c>
      <c r="E51" s="29">
        <v>1.93</v>
      </c>
      <c r="F51" s="29">
        <v>1.93</v>
      </c>
      <c r="G51" s="29">
        <v>1.93</v>
      </c>
      <c r="H51" s="29">
        <f>P33</f>
        <v>0.2544207266609928</v>
      </c>
      <c r="I51" s="29">
        <v>1.93</v>
      </c>
      <c r="J51" s="29">
        <v>1.93</v>
      </c>
      <c r="K51" s="29">
        <v>1.93</v>
      </c>
      <c r="L51" s="29">
        <v>1.93</v>
      </c>
    </row>
    <row r="52" spans="2:12" x14ac:dyDescent="0.25">
      <c r="B52" s="30" t="s">
        <v>24</v>
      </c>
      <c r="C52" s="29">
        <f t="shared" ref="C52:L52" si="6">($J$22+($G$7*$H$3))*(C50^-$C$18)</f>
        <v>2.348142887318363</v>
      </c>
      <c r="D52" s="29">
        <f t="shared" si="6"/>
        <v>2.4457244012484529</v>
      </c>
      <c r="E52" s="29">
        <f t="shared" si="6"/>
        <v>2.5901821099849465</v>
      </c>
      <c r="F52" s="29">
        <f t="shared" si="6"/>
        <v>2.8571699785049973</v>
      </c>
      <c r="G52" s="29">
        <f t="shared" si="6"/>
        <v>4.5060000000000002</v>
      </c>
      <c r="H52" s="29">
        <f t="shared" si="6"/>
        <v>2.348142887318363</v>
      </c>
      <c r="I52" s="29">
        <f t="shared" si="6"/>
        <v>2.4457244012484529</v>
      </c>
      <c r="J52" s="29">
        <f t="shared" si="6"/>
        <v>2.5901821099849465</v>
      </c>
      <c r="K52" s="29">
        <f t="shared" si="6"/>
        <v>2.8571699785049973</v>
      </c>
      <c r="L52" s="29">
        <f t="shared" si="6"/>
        <v>4.5060000000000002</v>
      </c>
    </row>
    <row r="53" spans="2:12" x14ac:dyDescent="0.25">
      <c r="B53" s="30" t="s">
        <v>20</v>
      </c>
      <c r="C53" s="29">
        <f t="shared" ref="C53:L53" si="7">($J$22+($G$3*$I$7)+($G$7*$H$3))*(C50^-$C$18)</f>
        <v>5.8000067323243183</v>
      </c>
      <c r="D53" s="29">
        <f t="shared" si="7"/>
        <v>6.0410369697947806</v>
      </c>
      <c r="E53" s="29">
        <f t="shared" si="7"/>
        <v>6.3978532809881168</v>
      </c>
      <c r="F53" s="29">
        <f t="shared" si="7"/>
        <v>7.0573239815269915</v>
      </c>
      <c r="G53" s="29">
        <f t="shared" si="7"/>
        <v>11.13</v>
      </c>
      <c r="H53" s="29">
        <f t="shared" si="7"/>
        <v>5.8000067323243183</v>
      </c>
      <c r="I53" s="29">
        <f t="shared" si="7"/>
        <v>6.0410369697947806</v>
      </c>
      <c r="J53" s="29">
        <f t="shared" si="7"/>
        <v>6.3978532809881168</v>
      </c>
      <c r="K53" s="29">
        <f t="shared" si="7"/>
        <v>7.0573239815269915</v>
      </c>
      <c r="L53" s="29">
        <f t="shared" si="7"/>
        <v>11.13</v>
      </c>
    </row>
    <row r="54" spans="2:12" x14ac:dyDescent="0.25">
      <c r="B54" s="31" t="s">
        <v>36</v>
      </c>
      <c r="C54" s="29">
        <f t="shared" ref="C54:L54" si="8">($J$22+($G$7*$H$3)-($I$3*$G$7))*(C50^-$C$18)</f>
        <v>2.1947267164292095</v>
      </c>
      <c r="D54" s="29">
        <f t="shared" si="8"/>
        <v>2.2859327315352829</v>
      </c>
      <c r="E54" s="29">
        <f t="shared" si="8"/>
        <v>2.4209522801625836</v>
      </c>
      <c r="F54" s="29">
        <f t="shared" si="8"/>
        <v>2.6704964672595759</v>
      </c>
      <c r="G54" s="29">
        <f t="shared" si="8"/>
        <v>4.2116000000000007</v>
      </c>
      <c r="H54" s="29">
        <f t="shared" si="8"/>
        <v>2.1947267164292095</v>
      </c>
      <c r="I54" s="29">
        <f t="shared" si="8"/>
        <v>2.2859327315352829</v>
      </c>
      <c r="J54" s="29">
        <f t="shared" si="8"/>
        <v>2.4209522801625836</v>
      </c>
      <c r="K54" s="29">
        <f t="shared" si="8"/>
        <v>2.6704964672595759</v>
      </c>
      <c r="L54" s="29">
        <f t="shared" si="8"/>
        <v>4.2116000000000007</v>
      </c>
    </row>
    <row r="55" spans="2:12" x14ac:dyDescent="0.25">
      <c r="B55" s="31" t="s">
        <v>58</v>
      </c>
      <c r="C55" s="29">
        <f t="shared" ref="C55:L55" si="9">($J$22+($G$7*$H$3)-($I$3*$G$7)+($G$3*$I$7))*(C50^-$C$18)</f>
        <v>5.6465905614351657</v>
      </c>
      <c r="D55" s="29">
        <f t="shared" si="9"/>
        <v>5.8812453000816109</v>
      </c>
      <c r="E55" s="29">
        <f t="shared" si="9"/>
        <v>6.2286234511657543</v>
      </c>
      <c r="F55" s="29">
        <f t="shared" si="9"/>
        <v>6.8706504702815696</v>
      </c>
      <c r="G55" s="29">
        <f t="shared" si="9"/>
        <v>10.835600000000001</v>
      </c>
      <c r="H55" s="29">
        <f t="shared" si="9"/>
        <v>5.6465905614351657</v>
      </c>
      <c r="I55" s="29">
        <f t="shared" si="9"/>
        <v>5.8812453000816109</v>
      </c>
      <c r="J55" s="29">
        <f t="shared" si="9"/>
        <v>6.2286234511657543</v>
      </c>
      <c r="K55" s="29">
        <f t="shared" si="9"/>
        <v>6.8706504702815696</v>
      </c>
      <c r="L55" s="29">
        <f t="shared" si="9"/>
        <v>10.835600000000001</v>
      </c>
    </row>
    <row r="56" spans="2:12" x14ac:dyDescent="0.25">
      <c r="B56" s="32" t="s">
        <v>27</v>
      </c>
      <c r="C56" s="29">
        <f t="shared" ref="C56:L56" si="10">($J$22+($G$7*$H$3)-($I$3*$G$7)-($J$3*$G$7))*(C53^-$C$18)</f>
        <v>1.849229707336068</v>
      </c>
      <c r="D56" s="29">
        <f t="shared" si="10"/>
        <v>1.8386036937992942</v>
      </c>
      <c r="E56" s="29">
        <f t="shared" si="10"/>
        <v>1.8237307623110834</v>
      </c>
      <c r="F56" s="29">
        <f t="shared" si="10"/>
        <v>1.7985834210889187</v>
      </c>
      <c r="G56" s="29">
        <f t="shared" si="10"/>
        <v>1.6862714719182796</v>
      </c>
      <c r="H56" s="29">
        <f t="shared" si="10"/>
        <v>1.849229707336068</v>
      </c>
      <c r="I56" s="29">
        <f t="shared" si="10"/>
        <v>1.8386036937992942</v>
      </c>
      <c r="J56" s="29">
        <f t="shared" si="10"/>
        <v>1.8237307623110834</v>
      </c>
      <c r="K56" s="29">
        <f t="shared" si="10"/>
        <v>1.7985834210889187</v>
      </c>
      <c r="L56" s="29">
        <f t="shared" si="10"/>
        <v>1.6862714719182796</v>
      </c>
    </row>
    <row r="57" spans="2:12" x14ac:dyDescent="0.25">
      <c r="B57" s="32" t="s">
        <v>57</v>
      </c>
      <c r="C57" s="29">
        <f t="shared" ref="C57:L57" si="11">($J$22+($G$7*$H$3)-($I$3*$G$7)+($G$3*$I$7)-($J$3*$G$7))*(C50^-$C$18)</f>
        <v>4.6877394933779559</v>
      </c>
      <c r="D57" s="29">
        <f t="shared" si="11"/>
        <v>4.8825473643742976</v>
      </c>
      <c r="E57" s="29">
        <f t="shared" si="11"/>
        <v>5.1709370147759843</v>
      </c>
      <c r="F57" s="29">
        <f t="shared" si="11"/>
        <v>5.7039410249976825</v>
      </c>
      <c r="G57" s="29">
        <f t="shared" si="11"/>
        <v>8.9956000000000014</v>
      </c>
      <c r="H57" s="29">
        <f t="shared" si="11"/>
        <v>4.6877394933779559</v>
      </c>
      <c r="I57" s="29">
        <f t="shared" si="11"/>
        <v>4.8825473643742976</v>
      </c>
      <c r="J57" s="29">
        <f t="shared" si="11"/>
        <v>5.1709370147759843</v>
      </c>
      <c r="K57" s="29">
        <f t="shared" si="11"/>
        <v>5.7039410249976825</v>
      </c>
      <c r="L57" s="29">
        <f t="shared" si="11"/>
        <v>8.9956000000000014</v>
      </c>
    </row>
    <row r="59" spans="2:12" x14ac:dyDescent="0.25">
      <c r="C59" s="476" t="s">
        <v>201</v>
      </c>
      <c r="D59" s="476"/>
      <c r="H59" s="476" t="s">
        <v>202</v>
      </c>
      <c r="I59" s="476"/>
    </row>
    <row r="60" spans="2:12" x14ac:dyDescent="0.25">
      <c r="C60" s="33">
        <v>100</v>
      </c>
      <c r="D60" s="34">
        <v>75</v>
      </c>
      <c r="E60" s="33">
        <v>50</v>
      </c>
      <c r="F60" s="33">
        <v>25</v>
      </c>
      <c r="G60" s="33">
        <v>1</v>
      </c>
      <c r="H60" s="33">
        <v>100</v>
      </c>
      <c r="I60" s="34">
        <v>75</v>
      </c>
      <c r="J60" s="33">
        <v>50</v>
      </c>
      <c r="K60" s="33">
        <v>25</v>
      </c>
      <c r="L60" s="33">
        <v>1</v>
      </c>
    </row>
    <row r="61" spans="2:12" x14ac:dyDescent="0.25">
      <c r="B61" s="30" t="s">
        <v>21</v>
      </c>
      <c r="C61" s="29">
        <f>K43</f>
        <v>0</v>
      </c>
      <c r="D61" s="29">
        <v>1.93</v>
      </c>
      <c r="E61" s="29">
        <v>1.93</v>
      </c>
      <c r="F61" s="29">
        <v>1.93</v>
      </c>
      <c r="G61" s="29">
        <v>1.93</v>
      </c>
      <c r="H61" s="29">
        <f>P43</f>
        <v>0</v>
      </c>
      <c r="I61" s="29">
        <v>1.93</v>
      </c>
      <c r="J61" s="29">
        <v>1.93</v>
      </c>
      <c r="K61" s="29">
        <v>1.93</v>
      </c>
      <c r="L61" s="29">
        <v>1.93</v>
      </c>
    </row>
    <row r="62" spans="2:12" x14ac:dyDescent="0.25">
      <c r="B62" s="30" t="s">
        <v>24</v>
      </c>
      <c r="C62" s="29">
        <f t="shared" ref="C62:L62" si="12">($J$22+($G$7*$H$3))*(C60^-$C$18)</f>
        <v>2.348142887318363</v>
      </c>
      <c r="D62" s="29">
        <f t="shared" si="12"/>
        <v>2.4457244012484529</v>
      </c>
      <c r="E62" s="29">
        <f t="shared" si="12"/>
        <v>2.5901821099849465</v>
      </c>
      <c r="F62" s="29">
        <f t="shared" si="12"/>
        <v>2.8571699785049973</v>
      </c>
      <c r="G62" s="29">
        <f t="shared" si="12"/>
        <v>4.5060000000000002</v>
      </c>
      <c r="H62" s="29">
        <f t="shared" si="12"/>
        <v>2.348142887318363</v>
      </c>
      <c r="I62" s="29">
        <f t="shared" si="12"/>
        <v>2.4457244012484529</v>
      </c>
      <c r="J62" s="29">
        <f t="shared" si="12"/>
        <v>2.5901821099849465</v>
      </c>
      <c r="K62" s="29">
        <f t="shared" si="12"/>
        <v>2.8571699785049973</v>
      </c>
      <c r="L62" s="29">
        <f t="shared" si="12"/>
        <v>4.5060000000000002</v>
      </c>
    </row>
    <row r="63" spans="2:12" x14ac:dyDescent="0.25">
      <c r="B63" s="30" t="s">
        <v>20</v>
      </c>
      <c r="C63" s="29">
        <f t="shared" ref="C63:L63" si="13">($J$22+($G$3*$I$7)+($G$7*$H$3))*(C60^-$C$18)</f>
        <v>5.8000067323243183</v>
      </c>
      <c r="D63" s="29">
        <f t="shared" si="13"/>
        <v>6.0410369697947806</v>
      </c>
      <c r="E63" s="29">
        <f t="shared" si="13"/>
        <v>6.3978532809881168</v>
      </c>
      <c r="F63" s="29">
        <f t="shared" si="13"/>
        <v>7.0573239815269915</v>
      </c>
      <c r="G63" s="29">
        <f t="shared" si="13"/>
        <v>11.13</v>
      </c>
      <c r="H63" s="29">
        <f t="shared" si="13"/>
        <v>5.8000067323243183</v>
      </c>
      <c r="I63" s="29">
        <f t="shared" si="13"/>
        <v>6.0410369697947806</v>
      </c>
      <c r="J63" s="29">
        <f t="shared" si="13"/>
        <v>6.3978532809881168</v>
      </c>
      <c r="K63" s="29">
        <f t="shared" si="13"/>
        <v>7.0573239815269915</v>
      </c>
      <c r="L63" s="29">
        <f t="shared" si="13"/>
        <v>11.13</v>
      </c>
    </row>
    <row r="64" spans="2:12" x14ac:dyDescent="0.25">
      <c r="B64" s="31" t="s">
        <v>36</v>
      </c>
      <c r="C64" s="29">
        <f t="shared" ref="C64:L64" si="14">($J$22+($G$7*$H$3)-($I$3*$G$7))*(C60^-$C$18)</f>
        <v>2.1947267164292095</v>
      </c>
      <c r="D64" s="29">
        <f t="shared" si="14"/>
        <v>2.2859327315352829</v>
      </c>
      <c r="E64" s="29">
        <f t="shared" si="14"/>
        <v>2.4209522801625836</v>
      </c>
      <c r="F64" s="29">
        <f t="shared" si="14"/>
        <v>2.6704964672595759</v>
      </c>
      <c r="G64" s="29">
        <f t="shared" si="14"/>
        <v>4.2116000000000007</v>
      </c>
      <c r="H64" s="29">
        <f t="shared" si="14"/>
        <v>2.1947267164292095</v>
      </c>
      <c r="I64" s="29">
        <f t="shared" si="14"/>
        <v>2.2859327315352829</v>
      </c>
      <c r="J64" s="29">
        <f t="shared" si="14"/>
        <v>2.4209522801625836</v>
      </c>
      <c r="K64" s="29">
        <f t="shared" si="14"/>
        <v>2.6704964672595759</v>
      </c>
      <c r="L64" s="29">
        <f t="shared" si="14"/>
        <v>4.2116000000000007</v>
      </c>
    </row>
    <row r="65" spans="2:12" x14ac:dyDescent="0.25">
      <c r="B65" s="31" t="s">
        <v>58</v>
      </c>
      <c r="C65" s="29">
        <f t="shared" ref="C65:L65" si="15">($J$22+($G$7*$H$3)-($I$3*$G$7)+($G$3*$I$7))*(C60^-$C$18)</f>
        <v>5.6465905614351657</v>
      </c>
      <c r="D65" s="29">
        <f t="shared" si="15"/>
        <v>5.8812453000816109</v>
      </c>
      <c r="E65" s="29">
        <f t="shared" si="15"/>
        <v>6.2286234511657543</v>
      </c>
      <c r="F65" s="29">
        <f t="shared" si="15"/>
        <v>6.8706504702815696</v>
      </c>
      <c r="G65" s="29">
        <f t="shared" si="15"/>
        <v>10.835600000000001</v>
      </c>
      <c r="H65" s="29">
        <f t="shared" si="15"/>
        <v>5.6465905614351657</v>
      </c>
      <c r="I65" s="29">
        <f t="shared" si="15"/>
        <v>5.8812453000816109</v>
      </c>
      <c r="J65" s="29">
        <f t="shared" si="15"/>
        <v>6.2286234511657543</v>
      </c>
      <c r="K65" s="29">
        <f t="shared" si="15"/>
        <v>6.8706504702815696</v>
      </c>
      <c r="L65" s="29">
        <f t="shared" si="15"/>
        <v>10.835600000000001</v>
      </c>
    </row>
    <row r="66" spans="2:12" x14ac:dyDescent="0.25">
      <c r="B66" s="32" t="s">
        <v>27</v>
      </c>
      <c r="C66" s="29">
        <f t="shared" ref="C66:L66" si="16">($J$22+($G$7*$H$3)-($I$3*$G$7)-($J$3*$G$7))*(C63^-$C$18)</f>
        <v>1.849229707336068</v>
      </c>
      <c r="D66" s="29">
        <f t="shared" si="16"/>
        <v>1.8386036937992942</v>
      </c>
      <c r="E66" s="29">
        <f t="shared" si="16"/>
        <v>1.8237307623110834</v>
      </c>
      <c r="F66" s="29">
        <f t="shared" si="16"/>
        <v>1.7985834210889187</v>
      </c>
      <c r="G66" s="29">
        <f t="shared" si="16"/>
        <v>1.6862714719182796</v>
      </c>
      <c r="H66" s="29">
        <f t="shared" si="16"/>
        <v>1.849229707336068</v>
      </c>
      <c r="I66" s="29">
        <f t="shared" si="16"/>
        <v>1.8386036937992942</v>
      </c>
      <c r="J66" s="29">
        <f t="shared" si="16"/>
        <v>1.8237307623110834</v>
      </c>
      <c r="K66" s="29">
        <f t="shared" si="16"/>
        <v>1.7985834210889187</v>
      </c>
      <c r="L66" s="29">
        <f t="shared" si="16"/>
        <v>1.6862714719182796</v>
      </c>
    </row>
    <row r="67" spans="2:12" x14ac:dyDescent="0.25">
      <c r="B67" s="32" t="s">
        <v>57</v>
      </c>
      <c r="C67" s="29">
        <f t="shared" ref="C67:L67" si="17">($J$22+($G$7*$H$3)-($I$3*$G$7)+($G$3*$I$7)-($J$3*$G$7))*(C60^-$C$18)</f>
        <v>4.6877394933779559</v>
      </c>
      <c r="D67" s="29">
        <f t="shared" si="17"/>
        <v>4.8825473643742976</v>
      </c>
      <c r="E67" s="29">
        <f t="shared" si="17"/>
        <v>5.1709370147759843</v>
      </c>
      <c r="F67" s="29">
        <f t="shared" si="17"/>
        <v>5.7039410249976825</v>
      </c>
      <c r="G67" s="29">
        <f t="shared" si="17"/>
        <v>8.9956000000000014</v>
      </c>
      <c r="H67" s="29">
        <f t="shared" si="17"/>
        <v>4.6877394933779559</v>
      </c>
      <c r="I67" s="29">
        <f t="shared" si="17"/>
        <v>4.8825473643742976</v>
      </c>
      <c r="J67" s="29">
        <f t="shared" si="17"/>
        <v>5.1709370147759843</v>
      </c>
      <c r="K67" s="29">
        <f t="shared" si="17"/>
        <v>5.7039410249976825</v>
      </c>
      <c r="L67" s="29">
        <f t="shared" si="17"/>
        <v>8.9956000000000014</v>
      </c>
    </row>
  </sheetData>
  <mergeCells count="14">
    <mergeCell ref="P20:Q20"/>
    <mergeCell ref="G5:H5"/>
    <mergeCell ref="G6:H6"/>
    <mergeCell ref="G7:H7"/>
    <mergeCell ref="G9:H9"/>
    <mergeCell ref="C59:D59"/>
    <mergeCell ref="H59:I59"/>
    <mergeCell ref="E37:F37"/>
    <mergeCell ref="G1:H1"/>
    <mergeCell ref="J20:K20"/>
    <mergeCell ref="C39:D39"/>
    <mergeCell ref="H39:I39"/>
    <mergeCell ref="C49:D49"/>
    <mergeCell ref="H49:I49"/>
  </mergeCells>
  <pageMargins left="0.7" right="0.7" top="0.75" bottom="0.75" header="0.3" footer="0.3"/>
  <pageSetup paperSize="9" orientation="portrait" r:id="rId1"/>
  <headerFooter>
    <oddFooter>&amp;C&amp;1#&amp;"Calibri"&amp;12&amp;K008000Internal Use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C4949-A258-4713-924E-75640DF8828F}">
  <sheetPr>
    <tabColor theme="4" tint="-0.249977111117893"/>
  </sheetPr>
  <dimension ref="A1:AT87"/>
  <sheetViews>
    <sheetView topLeftCell="I13" zoomScaleNormal="100" workbookViewId="0">
      <selection activeCell="BJ24" sqref="BJ24"/>
    </sheetView>
  </sheetViews>
  <sheetFormatPr defaultRowHeight="15" x14ac:dyDescent="0.25"/>
  <cols>
    <col min="3" max="3" width="58.28515625" customWidth="1"/>
    <col min="9" max="9" width="22.140625" customWidth="1"/>
    <col min="10" max="10" width="24.140625" customWidth="1"/>
    <col min="18" max="18" width="22.140625" customWidth="1"/>
    <col min="19" max="19" width="24.140625" customWidth="1"/>
    <col min="27" max="27" width="22.140625" customWidth="1"/>
    <col min="28" max="28" width="24.140625" customWidth="1"/>
    <col min="36" max="36" width="22.140625" customWidth="1"/>
    <col min="37" max="37" width="24.140625" customWidth="1"/>
    <col min="39" max="39" width="22.7109375" customWidth="1"/>
    <col min="42" max="42" width="51.140625" customWidth="1"/>
    <col min="43" max="43" width="14.42578125" customWidth="1"/>
    <col min="44" max="44" width="15" customWidth="1"/>
  </cols>
  <sheetData>
    <row r="1" spans="1:46" x14ac:dyDescent="0.25">
      <c r="A1" s="1"/>
      <c r="B1" s="1"/>
      <c r="C1" s="1"/>
      <c r="D1" s="489" t="s">
        <v>118</v>
      </c>
      <c r="E1" s="491"/>
      <c r="F1" s="1"/>
      <c r="G1" s="484" t="s">
        <v>119</v>
      </c>
      <c r="H1" s="485"/>
      <c r="I1" s="86" t="s">
        <v>113</v>
      </c>
      <c r="J1" s="87"/>
      <c r="K1" s="1"/>
      <c r="L1" s="1"/>
      <c r="M1" s="489" t="s">
        <v>118</v>
      </c>
      <c r="N1" s="491"/>
      <c r="O1" s="1"/>
      <c r="P1" s="484" t="s">
        <v>119</v>
      </c>
      <c r="Q1" s="485"/>
      <c r="R1" s="70" t="s">
        <v>113</v>
      </c>
      <c r="S1" s="71"/>
      <c r="T1" s="1"/>
      <c r="U1" s="1"/>
      <c r="V1" s="489" t="s">
        <v>118</v>
      </c>
      <c r="W1" s="491"/>
      <c r="X1" s="1"/>
      <c r="Y1" s="484" t="s">
        <v>119</v>
      </c>
      <c r="Z1" s="485"/>
      <c r="AA1" s="70" t="s">
        <v>113</v>
      </c>
      <c r="AB1" s="71"/>
      <c r="AC1" s="1"/>
      <c r="AD1" s="1"/>
      <c r="AE1" s="489" t="s">
        <v>118</v>
      </c>
      <c r="AF1" s="490"/>
      <c r="AG1" s="491"/>
      <c r="AH1" s="484" t="s">
        <v>119</v>
      </c>
      <c r="AI1" s="485"/>
      <c r="AJ1" s="70" t="s">
        <v>114</v>
      </c>
      <c r="AK1" s="71"/>
      <c r="AL1" s="1"/>
      <c r="AM1" s="1"/>
      <c r="AN1" s="1"/>
      <c r="AO1" s="1"/>
      <c r="AP1" s="1"/>
      <c r="AQ1" s="1"/>
      <c r="AR1" s="1"/>
      <c r="AS1" s="1"/>
      <c r="AT1" s="1"/>
    </row>
    <row r="2" spans="1:46" ht="15.75" thickBot="1" x14ac:dyDescent="0.3">
      <c r="A2" s="1"/>
      <c r="B2" s="1"/>
      <c r="C2" s="1"/>
      <c r="D2" s="486" t="s">
        <v>107</v>
      </c>
      <c r="E2" s="488"/>
      <c r="F2" s="1"/>
      <c r="G2" s="88" t="s">
        <v>121</v>
      </c>
      <c r="H2" s="89">
        <v>1.23</v>
      </c>
      <c r="I2" s="89" t="s">
        <v>104</v>
      </c>
      <c r="J2" s="68" t="s">
        <v>105</v>
      </c>
      <c r="K2" s="1"/>
      <c r="L2" s="1"/>
      <c r="M2" s="486" t="s">
        <v>108</v>
      </c>
      <c r="N2" s="488"/>
      <c r="O2" s="1"/>
      <c r="P2" s="88" t="s">
        <v>121</v>
      </c>
      <c r="Q2" s="72">
        <v>1.64</v>
      </c>
      <c r="R2" s="72" t="s">
        <v>104</v>
      </c>
      <c r="S2" s="67" t="s">
        <v>105</v>
      </c>
      <c r="T2" s="1"/>
      <c r="U2" s="1"/>
      <c r="V2" s="492" t="s">
        <v>112</v>
      </c>
      <c r="W2" s="493"/>
      <c r="X2" s="1"/>
      <c r="Y2" s="88" t="s">
        <v>121</v>
      </c>
      <c r="Z2" s="72">
        <v>3.5</v>
      </c>
      <c r="AA2" s="72" t="s">
        <v>104</v>
      </c>
      <c r="AB2" s="67" t="s">
        <v>105</v>
      </c>
      <c r="AC2" s="1"/>
      <c r="AD2" s="1"/>
      <c r="AE2" s="486" t="s">
        <v>117</v>
      </c>
      <c r="AF2" s="487"/>
      <c r="AG2" s="488"/>
      <c r="AH2" s="89" t="s">
        <v>121</v>
      </c>
      <c r="AI2" s="72">
        <v>3.7</v>
      </c>
      <c r="AJ2" s="72" t="s">
        <v>104</v>
      </c>
      <c r="AK2" s="67" t="s">
        <v>105</v>
      </c>
      <c r="AL2" s="1"/>
      <c r="AM2" s="1"/>
      <c r="AN2" s="1"/>
      <c r="AO2" s="1"/>
      <c r="AP2" s="1"/>
      <c r="AQ2" s="1"/>
      <c r="AR2" s="1"/>
      <c r="AS2" s="1"/>
      <c r="AT2" s="1"/>
    </row>
    <row r="3" spans="1:46" x14ac:dyDescent="0.25">
      <c r="A3" s="1"/>
      <c r="B3" s="1"/>
      <c r="C3" s="1"/>
      <c r="D3" s="1"/>
      <c r="E3" s="1"/>
      <c r="F3" s="1"/>
      <c r="G3" s="1"/>
      <c r="H3" s="1"/>
      <c r="I3" s="1"/>
      <c r="J3" s="1"/>
      <c r="K3" s="1"/>
      <c r="L3" s="1"/>
      <c r="M3" s="1">
        <v>1.347</v>
      </c>
      <c r="N3" s="1"/>
      <c r="O3" s="1"/>
      <c r="P3" s="1"/>
      <c r="Q3" s="1"/>
      <c r="R3" s="1"/>
      <c r="S3" s="1"/>
      <c r="T3" s="1"/>
      <c r="U3" s="1"/>
      <c r="V3" s="1">
        <v>2.82</v>
      </c>
      <c r="W3" s="1"/>
      <c r="X3" s="1"/>
      <c r="Y3" s="1"/>
      <c r="Z3" s="1"/>
      <c r="AA3" s="1"/>
      <c r="AB3" s="1"/>
      <c r="AC3" s="1"/>
      <c r="AD3" s="1"/>
      <c r="AE3" s="1">
        <v>3.0276000000000001</v>
      </c>
      <c r="AF3" s="1"/>
      <c r="AG3" s="1"/>
      <c r="AH3" s="1"/>
      <c r="AI3" s="1"/>
      <c r="AJ3" s="1"/>
      <c r="AK3" s="1"/>
      <c r="AL3" s="1"/>
      <c r="AM3" s="1"/>
      <c r="AN3" s="1"/>
      <c r="AO3" s="1"/>
      <c r="AP3" s="1"/>
      <c r="AQ3" s="1"/>
      <c r="AR3" s="1"/>
      <c r="AS3" s="1"/>
      <c r="AT3" s="1"/>
    </row>
    <row r="4" spans="1:46" x14ac:dyDescent="0.25">
      <c r="A4" s="1"/>
      <c r="B4" s="1"/>
      <c r="C4" s="1"/>
      <c r="D4" s="85" t="s">
        <v>99</v>
      </c>
      <c r="E4" s="85" t="s">
        <v>100</v>
      </c>
      <c r="F4" s="85" t="s">
        <v>102</v>
      </c>
      <c r="G4" s="85" t="s">
        <v>8</v>
      </c>
      <c r="H4" s="85" t="s">
        <v>101</v>
      </c>
      <c r="I4" s="85" t="s">
        <v>115</v>
      </c>
      <c r="J4" s="85" t="s">
        <v>116</v>
      </c>
      <c r="K4" s="1"/>
      <c r="L4" s="1"/>
      <c r="M4" s="85" t="s">
        <v>99</v>
      </c>
      <c r="N4" s="85" t="s">
        <v>100</v>
      </c>
      <c r="O4" s="85" t="s">
        <v>102</v>
      </c>
      <c r="P4" s="85" t="s">
        <v>8</v>
      </c>
      <c r="Q4" s="85" t="s">
        <v>101</v>
      </c>
      <c r="R4" s="85" t="s">
        <v>115</v>
      </c>
      <c r="S4" s="85" t="s">
        <v>116</v>
      </c>
      <c r="T4" s="1"/>
      <c r="U4" s="1"/>
      <c r="V4" s="63" t="s">
        <v>99</v>
      </c>
      <c r="W4" s="63" t="s">
        <v>100</v>
      </c>
      <c r="X4" s="63" t="s">
        <v>102</v>
      </c>
      <c r="Y4" s="63" t="s">
        <v>8</v>
      </c>
      <c r="Z4" s="63" t="s">
        <v>101</v>
      </c>
      <c r="AA4" s="63" t="s">
        <v>115</v>
      </c>
      <c r="AB4" s="63" t="s">
        <v>116</v>
      </c>
      <c r="AC4" s="1"/>
      <c r="AD4" s="1"/>
      <c r="AE4" s="85" t="s">
        <v>99</v>
      </c>
      <c r="AF4" s="85" t="s">
        <v>100</v>
      </c>
      <c r="AG4" s="85" t="s">
        <v>102</v>
      </c>
      <c r="AH4" s="85" t="s">
        <v>8</v>
      </c>
      <c r="AI4" s="85" t="s">
        <v>101</v>
      </c>
      <c r="AJ4" s="85" t="s">
        <v>115</v>
      </c>
      <c r="AK4" s="85" t="s">
        <v>116</v>
      </c>
      <c r="AL4" s="1"/>
      <c r="AM4" s="1"/>
      <c r="AN4" s="1"/>
      <c r="AO4" s="1"/>
      <c r="AP4" s="1"/>
      <c r="AQ4" s="1"/>
      <c r="AR4" s="1"/>
      <c r="AS4" s="1"/>
      <c r="AT4" s="1"/>
    </row>
    <row r="5" spans="1:46" x14ac:dyDescent="0.25">
      <c r="A5" s="1"/>
      <c r="B5" s="1"/>
      <c r="C5" s="1"/>
      <c r="D5" s="81">
        <v>0</v>
      </c>
      <c r="E5" s="73">
        <v>0</v>
      </c>
      <c r="F5" s="77">
        <v>0.1</v>
      </c>
      <c r="G5" s="98">
        <f>F5*2.5</f>
        <v>0.25</v>
      </c>
      <c r="H5" s="60">
        <f t="shared" ref="H5:H28" si="0">$H$2</f>
        <v>1.23</v>
      </c>
      <c r="I5" s="92">
        <f>H5-G5</f>
        <v>0.98</v>
      </c>
      <c r="J5" s="90">
        <f>I5</f>
        <v>0.98</v>
      </c>
      <c r="K5" s="1"/>
      <c r="L5" s="1"/>
      <c r="M5" s="81">
        <v>0</v>
      </c>
      <c r="N5" s="73">
        <v>0</v>
      </c>
      <c r="O5" s="77">
        <v>0.1</v>
      </c>
      <c r="P5" s="98">
        <f>O5*2.5*$M$3</f>
        <v>0.33674999999999999</v>
      </c>
      <c r="Q5" s="60">
        <f>$Q$2</f>
        <v>1.64</v>
      </c>
      <c r="R5" s="92">
        <f>Q5-P5</f>
        <v>1.3032499999999998</v>
      </c>
      <c r="S5" s="90">
        <f>R5</f>
        <v>1.3032499999999998</v>
      </c>
      <c r="T5" s="1"/>
      <c r="U5" s="1"/>
      <c r="V5" s="81">
        <v>0</v>
      </c>
      <c r="W5" s="73">
        <v>0</v>
      </c>
      <c r="X5" s="77">
        <v>0.1</v>
      </c>
      <c r="Y5" s="104">
        <f>X5*2.5*$V$3</f>
        <v>0.70499999999999996</v>
      </c>
      <c r="Z5" s="60">
        <f>$Z$2</f>
        <v>3.5</v>
      </c>
      <c r="AA5" s="92">
        <f>Z5-Y5</f>
        <v>2.7949999999999999</v>
      </c>
      <c r="AB5" s="90">
        <f>AA5</f>
        <v>2.7949999999999999</v>
      </c>
      <c r="AC5" s="1"/>
      <c r="AD5" s="1"/>
      <c r="AE5" s="81">
        <v>0</v>
      </c>
      <c r="AF5" s="73">
        <v>0</v>
      </c>
      <c r="AG5" s="77">
        <v>0.1</v>
      </c>
      <c r="AH5" s="98">
        <f>AG5*2.5*$AE$3</f>
        <v>0.75690000000000002</v>
      </c>
      <c r="AI5" s="60">
        <f>$AI$2</f>
        <v>3.7</v>
      </c>
      <c r="AJ5" s="92">
        <f>AI5-AH5</f>
        <v>2.9431000000000003</v>
      </c>
      <c r="AK5" s="90">
        <f>AJ5</f>
        <v>2.9431000000000003</v>
      </c>
      <c r="AL5" s="60">
        <f>$AI$2</f>
        <v>3.7</v>
      </c>
      <c r="AM5" s="1"/>
      <c r="AN5" s="1"/>
      <c r="AO5" s="1"/>
      <c r="AP5" s="1"/>
      <c r="AQ5" s="1"/>
      <c r="AR5" s="1"/>
      <c r="AS5" s="1"/>
      <c r="AT5" s="1"/>
    </row>
    <row r="6" spans="1:46" x14ac:dyDescent="0.25">
      <c r="A6" s="1"/>
      <c r="B6" s="1"/>
      <c r="C6" s="1"/>
      <c r="D6" s="82">
        <v>1</v>
      </c>
      <c r="E6" s="74">
        <v>4.1666666666666699E-2</v>
      </c>
      <c r="F6" s="78">
        <v>0.2</v>
      </c>
      <c r="G6" s="99">
        <f t="shared" ref="G6" si="1">F6*2.5</f>
        <v>0.5</v>
      </c>
      <c r="H6" s="61">
        <f t="shared" si="0"/>
        <v>1.23</v>
      </c>
      <c r="I6" s="93">
        <f t="shared" ref="I6:I28" si="2">H6-G6</f>
        <v>0.73</v>
      </c>
      <c r="J6" s="91">
        <f>SUM($I$5:I6)</f>
        <v>1.71</v>
      </c>
      <c r="K6" s="1"/>
      <c r="L6" s="1"/>
      <c r="M6" s="82">
        <v>1</v>
      </c>
      <c r="N6" s="74">
        <v>4.1666666666666699E-2</v>
      </c>
      <c r="O6" s="78">
        <v>0.2</v>
      </c>
      <c r="P6" s="99">
        <f t="shared" ref="P6:P28" si="3">O6*2.5*$M$3</f>
        <v>0.67349999999999999</v>
      </c>
      <c r="Q6" s="61">
        <f t="shared" ref="Q6:Q28" si="4">$Q$2</f>
        <v>1.64</v>
      </c>
      <c r="R6" s="93">
        <f t="shared" ref="R6:R28" si="5">Q6-P6</f>
        <v>0.96649999999999991</v>
      </c>
      <c r="S6" s="91">
        <f>SUM($R$5:R6)</f>
        <v>2.2697499999999997</v>
      </c>
      <c r="T6" s="1"/>
      <c r="U6" s="1"/>
      <c r="V6" s="82">
        <v>1</v>
      </c>
      <c r="W6" s="74">
        <v>4.1666666666666699E-2</v>
      </c>
      <c r="X6" s="78">
        <v>0.2</v>
      </c>
      <c r="Y6" s="103">
        <f t="shared" ref="Y6:Y28" si="6">X6*2.5*$V$3</f>
        <v>1.41</v>
      </c>
      <c r="Z6" s="61">
        <f t="shared" ref="Z6:Z27" si="7">$Z$2</f>
        <v>3.5</v>
      </c>
      <c r="AA6" s="93">
        <f t="shared" ref="AA6:AA28" si="8">Z6-Y6</f>
        <v>2.09</v>
      </c>
      <c r="AB6" s="91">
        <f>SUM($AA$5:AA6)</f>
        <v>4.8849999999999998</v>
      </c>
      <c r="AC6" s="1"/>
      <c r="AD6" s="1"/>
      <c r="AE6" s="82">
        <v>1</v>
      </c>
      <c r="AF6" s="74">
        <v>4.1666666666666699E-2</v>
      </c>
      <c r="AG6" s="78">
        <v>0.2</v>
      </c>
      <c r="AH6" s="99">
        <f t="shared" ref="AH6:AH28" si="9">AG6*2.5*$AE$3</f>
        <v>1.5138</v>
      </c>
      <c r="AI6" s="61">
        <f t="shared" ref="AI6:AI28" si="10">$AI$2</f>
        <v>3.7</v>
      </c>
      <c r="AJ6" s="93">
        <f t="shared" ref="AJ6:AJ28" si="11">AI6-AH6</f>
        <v>2.1862000000000004</v>
      </c>
      <c r="AK6" s="91">
        <f>SUM($AJ$5:AJ6)</f>
        <v>5.1293000000000006</v>
      </c>
      <c r="AL6" s="61">
        <f t="shared" ref="AL6:AL28" si="12">$AI$2</f>
        <v>3.7</v>
      </c>
      <c r="AM6" s="1"/>
      <c r="AN6" s="1"/>
      <c r="AO6" s="1"/>
      <c r="AP6" s="1"/>
      <c r="AQ6" s="1"/>
      <c r="AR6" s="1"/>
      <c r="AS6" s="1"/>
      <c r="AT6" s="1"/>
    </row>
    <row r="7" spans="1:46" x14ac:dyDescent="0.25">
      <c r="A7" s="1"/>
      <c r="B7" s="1"/>
      <c r="C7" s="1"/>
      <c r="D7" s="82">
        <v>2</v>
      </c>
      <c r="E7" s="74">
        <v>8.3333333333333301E-2</v>
      </c>
      <c r="F7" s="78">
        <v>0.15</v>
      </c>
      <c r="G7" s="99">
        <f t="shared" ref="G7" si="13">F7*2.5</f>
        <v>0.375</v>
      </c>
      <c r="H7" s="61">
        <f t="shared" si="0"/>
        <v>1.23</v>
      </c>
      <c r="I7" s="93">
        <f t="shared" si="2"/>
        <v>0.85499999999999998</v>
      </c>
      <c r="J7" s="91">
        <f>SUM($I$5:I7)</f>
        <v>2.5649999999999999</v>
      </c>
      <c r="K7" s="1"/>
      <c r="L7" s="1"/>
      <c r="M7" s="82">
        <v>2</v>
      </c>
      <c r="N7" s="74">
        <v>8.3333333333333301E-2</v>
      </c>
      <c r="O7" s="78">
        <v>0.15</v>
      </c>
      <c r="P7" s="99">
        <f t="shared" si="3"/>
        <v>0.50512500000000005</v>
      </c>
      <c r="Q7" s="61">
        <f t="shared" si="4"/>
        <v>1.64</v>
      </c>
      <c r="R7" s="93">
        <f t="shared" si="5"/>
        <v>1.1348749999999999</v>
      </c>
      <c r="S7" s="91">
        <f>SUM($R$5:R7)</f>
        <v>3.4046249999999993</v>
      </c>
      <c r="T7" s="1"/>
      <c r="U7" s="1"/>
      <c r="V7" s="82">
        <v>2</v>
      </c>
      <c r="W7" s="74">
        <v>8.3333333333333301E-2</v>
      </c>
      <c r="X7" s="78">
        <v>0.15</v>
      </c>
      <c r="Y7" s="103">
        <f t="shared" si="6"/>
        <v>1.0574999999999999</v>
      </c>
      <c r="Z7" s="61">
        <f t="shared" si="7"/>
        <v>3.5</v>
      </c>
      <c r="AA7" s="93">
        <f t="shared" si="8"/>
        <v>2.4424999999999999</v>
      </c>
      <c r="AB7" s="91">
        <f>SUM($AA$5:AA7)</f>
        <v>7.3274999999999997</v>
      </c>
      <c r="AC7" s="1"/>
      <c r="AD7" s="1"/>
      <c r="AE7" s="82">
        <v>2</v>
      </c>
      <c r="AF7" s="74">
        <v>8.3333333333333301E-2</v>
      </c>
      <c r="AG7" s="78">
        <v>0.15</v>
      </c>
      <c r="AH7" s="99">
        <f t="shared" si="9"/>
        <v>1.1353500000000001</v>
      </c>
      <c r="AI7" s="61">
        <f t="shared" si="10"/>
        <v>3.7</v>
      </c>
      <c r="AJ7" s="93">
        <f t="shared" si="11"/>
        <v>2.5646500000000003</v>
      </c>
      <c r="AK7" s="91">
        <f>SUM($AJ$5:AJ7)</f>
        <v>7.693950000000001</v>
      </c>
      <c r="AL7" s="61">
        <f t="shared" si="12"/>
        <v>3.7</v>
      </c>
      <c r="AM7" s="1"/>
      <c r="AN7" s="1"/>
      <c r="AO7" s="1"/>
      <c r="AP7" s="1"/>
      <c r="AQ7" s="1"/>
      <c r="AR7" s="1"/>
      <c r="AS7" s="1"/>
      <c r="AT7" s="1"/>
    </row>
    <row r="8" spans="1:46" x14ac:dyDescent="0.25">
      <c r="A8" s="1"/>
      <c r="B8" s="1"/>
      <c r="C8" s="1"/>
      <c r="D8" s="82">
        <v>3</v>
      </c>
      <c r="E8" s="74">
        <v>0.125</v>
      </c>
      <c r="F8" s="78">
        <v>0.15</v>
      </c>
      <c r="G8" s="99">
        <f t="shared" ref="G8" si="14">F8*2.5</f>
        <v>0.375</v>
      </c>
      <c r="H8" s="61">
        <f t="shared" si="0"/>
        <v>1.23</v>
      </c>
      <c r="I8" s="93">
        <f t="shared" si="2"/>
        <v>0.85499999999999998</v>
      </c>
      <c r="J8" s="91">
        <f>SUM($I$5:I8)</f>
        <v>3.42</v>
      </c>
      <c r="K8" s="1"/>
      <c r="L8" s="1"/>
      <c r="M8" s="82">
        <v>3</v>
      </c>
      <c r="N8" s="74">
        <v>0.125</v>
      </c>
      <c r="O8" s="78">
        <v>0.15</v>
      </c>
      <c r="P8" s="99">
        <f t="shared" si="3"/>
        <v>0.50512500000000005</v>
      </c>
      <c r="Q8" s="61">
        <f t="shared" si="4"/>
        <v>1.64</v>
      </c>
      <c r="R8" s="93">
        <f t="shared" si="5"/>
        <v>1.1348749999999999</v>
      </c>
      <c r="S8" s="91">
        <f>SUM($R$5:R8)</f>
        <v>4.5394999999999994</v>
      </c>
      <c r="T8" s="1"/>
      <c r="U8" s="1"/>
      <c r="V8" s="82">
        <v>3</v>
      </c>
      <c r="W8" s="74">
        <v>0.125</v>
      </c>
      <c r="X8" s="78">
        <v>0.15</v>
      </c>
      <c r="Y8" s="103">
        <f t="shared" si="6"/>
        <v>1.0574999999999999</v>
      </c>
      <c r="Z8" s="61">
        <f t="shared" si="7"/>
        <v>3.5</v>
      </c>
      <c r="AA8" s="93">
        <f t="shared" si="8"/>
        <v>2.4424999999999999</v>
      </c>
      <c r="AB8" s="91">
        <f>SUM($AA$5:AA8)</f>
        <v>9.77</v>
      </c>
      <c r="AC8" s="1"/>
      <c r="AD8" s="1"/>
      <c r="AE8" s="82">
        <v>3</v>
      </c>
      <c r="AF8" s="74">
        <v>0.125</v>
      </c>
      <c r="AG8" s="78">
        <v>0.15</v>
      </c>
      <c r="AH8" s="99">
        <f t="shared" si="9"/>
        <v>1.1353500000000001</v>
      </c>
      <c r="AI8" s="61">
        <f t="shared" si="10"/>
        <v>3.7</v>
      </c>
      <c r="AJ8" s="93">
        <f t="shared" si="11"/>
        <v>2.5646500000000003</v>
      </c>
      <c r="AK8" s="91">
        <f>SUM($AJ$5:AJ8)</f>
        <v>10.258600000000001</v>
      </c>
      <c r="AL8" s="61">
        <f t="shared" si="12"/>
        <v>3.7</v>
      </c>
      <c r="AM8" s="1"/>
      <c r="AN8" s="1"/>
      <c r="AO8" s="1"/>
      <c r="AP8" s="1"/>
      <c r="AQ8" s="1"/>
      <c r="AR8" s="1"/>
      <c r="AS8" s="1"/>
      <c r="AT8" s="1"/>
    </row>
    <row r="9" spans="1:46" x14ac:dyDescent="0.25">
      <c r="A9" s="1"/>
      <c r="B9" s="1"/>
      <c r="C9" s="1"/>
      <c r="D9" s="82">
        <v>4</v>
      </c>
      <c r="E9" s="74">
        <v>0.16666666666666699</v>
      </c>
      <c r="F9" s="78">
        <v>0.15</v>
      </c>
      <c r="G9" s="99">
        <f t="shared" ref="G9" si="15">F9*2.5</f>
        <v>0.375</v>
      </c>
      <c r="H9" s="61">
        <f t="shared" si="0"/>
        <v>1.23</v>
      </c>
      <c r="I9" s="93">
        <f t="shared" si="2"/>
        <v>0.85499999999999998</v>
      </c>
      <c r="J9" s="91">
        <f>SUM($I$5:I9)</f>
        <v>4.2750000000000004</v>
      </c>
      <c r="K9" s="1"/>
      <c r="L9" s="1"/>
      <c r="M9" s="82">
        <v>4</v>
      </c>
      <c r="N9" s="74">
        <v>0.16666666666666699</v>
      </c>
      <c r="O9" s="78">
        <v>0.15</v>
      </c>
      <c r="P9" s="99">
        <f t="shared" si="3"/>
        <v>0.50512500000000005</v>
      </c>
      <c r="Q9" s="61">
        <f t="shared" si="4"/>
        <v>1.64</v>
      </c>
      <c r="R9" s="93">
        <f t="shared" si="5"/>
        <v>1.1348749999999999</v>
      </c>
      <c r="S9" s="91">
        <f>SUM($R$5:R9)</f>
        <v>5.6743749999999995</v>
      </c>
      <c r="T9" s="1"/>
      <c r="U9" s="1"/>
      <c r="V9" s="82">
        <v>4</v>
      </c>
      <c r="W9" s="74">
        <v>0.16666666666666699</v>
      </c>
      <c r="X9" s="78">
        <v>0.15</v>
      </c>
      <c r="Y9" s="103">
        <f t="shared" si="6"/>
        <v>1.0574999999999999</v>
      </c>
      <c r="Z9" s="61">
        <f t="shared" si="7"/>
        <v>3.5</v>
      </c>
      <c r="AA9" s="93">
        <f t="shared" si="8"/>
        <v>2.4424999999999999</v>
      </c>
      <c r="AB9" s="91">
        <f>SUM($AA$5:AA9)</f>
        <v>12.212499999999999</v>
      </c>
      <c r="AC9" s="1"/>
      <c r="AD9" s="1"/>
      <c r="AE9" s="82">
        <v>4</v>
      </c>
      <c r="AF9" s="74">
        <v>0.16666666666666699</v>
      </c>
      <c r="AG9" s="78">
        <v>0.15</v>
      </c>
      <c r="AH9" s="99">
        <f t="shared" si="9"/>
        <v>1.1353500000000001</v>
      </c>
      <c r="AI9" s="61">
        <f t="shared" si="10"/>
        <v>3.7</v>
      </c>
      <c r="AJ9" s="93">
        <f t="shared" si="11"/>
        <v>2.5646500000000003</v>
      </c>
      <c r="AK9" s="91">
        <f>SUM($AJ$5:AJ9)</f>
        <v>12.823250000000002</v>
      </c>
      <c r="AL9" s="61">
        <f t="shared" si="12"/>
        <v>3.7</v>
      </c>
      <c r="AM9" s="1"/>
      <c r="AN9" s="1"/>
      <c r="AO9" s="1"/>
      <c r="AP9" s="1"/>
      <c r="AQ9" s="1"/>
      <c r="AR9" s="1"/>
      <c r="AS9" s="1"/>
      <c r="AT9" s="1"/>
    </row>
    <row r="10" spans="1:46" x14ac:dyDescent="0.25">
      <c r="A10" s="1"/>
      <c r="B10" s="1"/>
      <c r="C10" s="1"/>
      <c r="D10" s="82">
        <v>5</v>
      </c>
      <c r="E10" s="74">
        <v>0.20833333333333301</v>
      </c>
      <c r="F10" s="78">
        <v>0.17499999999999999</v>
      </c>
      <c r="G10" s="99">
        <f t="shared" ref="G10" si="16">F10*2.5</f>
        <v>0.4375</v>
      </c>
      <c r="H10" s="61">
        <f t="shared" si="0"/>
        <v>1.23</v>
      </c>
      <c r="I10" s="93">
        <f t="shared" si="2"/>
        <v>0.79249999999999998</v>
      </c>
      <c r="J10" s="91">
        <f>SUM($I$5:I10)</f>
        <v>5.0675000000000008</v>
      </c>
      <c r="K10" s="1"/>
      <c r="L10" s="1"/>
      <c r="M10" s="82">
        <v>5</v>
      </c>
      <c r="N10" s="74">
        <v>0.20833333333333301</v>
      </c>
      <c r="O10" s="78">
        <v>0.17499999999999999</v>
      </c>
      <c r="P10" s="99">
        <f t="shared" si="3"/>
        <v>0.58931250000000002</v>
      </c>
      <c r="Q10" s="61">
        <f t="shared" si="4"/>
        <v>1.64</v>
      </c>
      <c r="R10" s="93">
        <f t="shared" si="5"/>
        <v>1.0506875</v>
      </c>
      <c r="S10" s="91">
        <f>SUM($R$5:R10)</f>
        <v>6.7250624999999999</v>
      </c>
      <c r="T10" s="1"/>
      <c r="U10" s="1"/>
      <c r="V10" s="82">
        <v>5</v>
      </c>
      <c r="W10" s="74">
        <v>0.20833333333333301</v>
      </c>
      <c r="X10" s="78">
        <v>0.17499999999999999</v>
      </c>
      <c r="Y10" s="103">
        <f t="shared" si="6"/>
        <v>1.2337499999999999</v>
      </c>
      <c r="Z10" s="61">
        <f t="shared" si="7"/>
        <v>3.5</v>
      </c>
      <c r="AA10" s="93">
        <f t="shared" si="8"/>
        <v>2.2662500000000003</v>
      </c>
      <c r="AB10" s="91">
        <f>SUM($AA$5:AA10)</f>
        <v>14.478749999999998</v>
      </c>
      <c r="AC10" s="1"/>
      <c r="AD10" s="1"/>
      <c r="AE10" s="82">
        <v>5</v>
      </c>
      <c r="AF10" s="74">
        <v>0.20833333333333301</v>
      </c>
      <c r="AG10" s="78">
        <v>0.17499999999999999</v>
      </c>
      <c r="AH10" s="99">
        <f t="shared" si="9"/>
        <v>1.3245750000000001</v>
      </c>
      <c r="AI10" s="61">
        <f t="shared" si="10"/>
        <v>3.7</v>
      </c>
      <c r="AJ10" s="93">
        <f t="shared" si="11"/>
        <v>2.3754249999999999</v>
      </c>
      <c r="AK10" s="91">
        <f>SUM($AJ$5:AJ10)</f>
        <v>15.198675000000001</v>
      </c>
      <c r="AL10" s="61">
        <f t="shared" si="12"/>
        <v>3.7</v>
      </c>
      <c r="AM10" s="1"/>
      <c r="AN10" s="1"/>
      <c r="AO10" s="1"/>
      <c r="AP10" s="1"/>
      <c r="AQ10" s="1"/>
      <c r="AR10" s="1"/>
      <c r="AS10" s="1"/>
      <c r="AT10" s="1"/>
    </row>
    <row r="11" spans="1:46" x14ac:dyDescent="0.25">
      <c r="A11" s="1"/>
      <c r="B11" s="1"/>
      <c r="C11" s="1"/>
      <c r="D11" s="82">
        <v>6</v>
      </c>
      <c r="E11" s="74">
        <v>0.25</v>
      </c>
      <c r="F11" s="78">
        <v>0.2</v>
      </c>
      <c r="G11" s="99">
        <f t="shared" ref="G11" si="17">F11*2.5</f>
        <v>0.5</v>
      </c>
      <c r="H11" s="61">
        <f t="shared" si="0"/>
        <v>1.23</v>
      </c>
      <c r="I11" s="93">
        <f t="shared" si="2"/>
        <v>0.73</v>
      </c>
      <c r="J11" s="91">
        <f>SUM($I$5:I11)</f>
        <v>5.7975000000000012</v>
      </c>
      <c r="K11" s="1"/>
      <c r="L11" s="1"/>
      <c r="M11" s="82">
        <v>6</v>
      </c>
      <c r="N11" s="74">
        <v>0.25</v>
      </c>
      <c r="O11" s="78">
        <v>0.2</v>
      </c>
      <c r="P11" s="99">
        <f t="shared" si="3"/>
        <v>0.67349999999999999</v>
      </c>
      <c r="Q11" s="61">
        <f t="shared" si="4"/>
        <v>1.64</v>
      </c>
      <c r="R11" s="93">
        <f t="shared" si="5"/>
        <v>0.96649999999999991</v>
      </c>
      <c r="S11" s="91">
        <f>SUM($R$5:R11)</f>
        <v>7.6915624999999999</v>
      </c>
      <c r="T11" s="1"/>
      <c r="U11" s="1"/>
      <c r="V11" s="82">
        <v>6</v>
      </c>
      <c r="W11" s="74">
        <v>0.25</v>
      </c>
      <c r="X11" s="78">
        <v>0.2</v>
      </c>
      <c r="Y11" s="103">
        <f t="shared" si="6"/>
        <v>1.41</v>
      </c>
      <c r="Z11" s="61">
        <f t="shared" si="7"/>
        <v>3.5</v>
      </c>
      <c r="AA11" s="93">
        <f t="shared" si="8"/>
        <v>2.09</v>
      </c>
      <c r="AB11" s="91">
        <f>SUM($AA$5:AA11)</f>
        <v>16.568749999999998</v>
      </c>
      <c r="AC11" s="1"/>
      <c r="AD11" s="1"/>
      <c r="AE11" s="82">
        <v>6</v>
      </c>
      <c r="AF11" s="74">
        <v>0.25</v>
      </c>
      <c r="AG11" s="78">
        <v>0.2</v>
      </c>
      <c r="AH11" s="99">
        <f t="shared" si="9"/>
        <v>1.5138</v>
      </c>
      <c r="AI11" s="61">
        <f t="shared" si="10"/>
        <v>3.7</v>
      </c>
      <c r="AJ11" s="93">
        <f t="shared" si="11"/>
        <v>2.1862000000000004</v>
      </c>
      <c r="AK11" s="91">
        <f>SUM($AJ$5:AJ11)</f>
        <v>17.384875000000001</v>
      </c>
      <c r="AL11" s="61">
        <f t="shared" si="12"/>
        <v>3.7</v>
      </c>
      <c r="AM11" s="1"/>
      <c r="AN11" s="1"/>
      <c r="AO11" s="1"/>
      <c r="AP11" s="1"/>
      <c r="AQ11" s="1"/>
      <c r="AR11" s="1"/>
      <c r="AS11" s="1"/>
      <c r="AT11" s="1"/>
    </row>
    <row r="12" spans="1:46" x14ac:dyDescent="0.25">
      <c r="A12" s="1"/>
      <c r="B12" s="1"/>
      <c r="C12" s="1"/>
      <c r="D12" s="82">
        <v>7</v>
      </c>
      <c r="E12" s="74">
        <v>0.29166666666666702</v>
      </c>
      <c r="F12" s="78">
        <v>0.4</v>
      </c>
      <c r="G12" s="99">
        <f t="shared" ref="G12" si="18">F12*2.5</f>
        <v>1</v>
      </c>
      <c r="H12" s="61">
        <f t="shared" si="0"/>
        <v>1.23</v>
      </c>
      <c r="I12" s="93">
        <f t="shared" si="2"/>
        <v>0.22999999999999998</v>
      </c>
      <c r="J12" s="91">
        <f>SUM($I$5:I12)</f>
        <v>6.0275000000000016</v>
      </c>
      <c r="K12" s="1"/>
      <c r="L12" s="1"/>
      <c r="M12" s="82">
        <v>7</v>
      </c>
      <c r="N12" s="74">
        <v>0.29166666666666702</v>
      </c>
      <c r="O12" s="78">
        <v>0.4</v>
      </c>
      <c r="P12" s="99">
        <f t="shared" si="3"/>
        <v>1.347</v>
      </c>
      <c r="Q12" s="61">
        <f t="shared" si="4"/>
        <v>1.64</v>
      </c>
      <c r="R12" s="93">
        <f t="shared" si="5"/>
        <v>0.29299999999999993</v>
      </c>
      <c r="S12" s="91">
        <f>SUM($R$5:R12)</f>
        <v>7.9845625</v>
      </c>
      <c r="T12" s="1"/>
      <c r="U12" s="1"/>
      <c r="V12" s="82">
        <v>7</v>
      </c>
      <c r="W12" s="74">
        <v>0.29166666666666702</v>
      </c>
      <c r="X12" s="78">
        <v>0.4</v>
      </c>
      <c r="Y12" s="103">
        <f t="shared" si="6"/>
        <v>2.82</v>
      </c>
      <c r="Z12" s="61">
        <f t="shared" si="7"/>
        <v>3.5</v>
      </c>
      <c r="AA12" s="93">
        <f t="shared" si="8"/>
        <v>0.68000000000000016</v>
      </c>
      <c r="AB12" s="91">
        <f>SUM($AA$5:AA12)</f>
        <v>17.248749999999998</v>
      </c>
      <c r="AC12" s="1"/>
      <c r="AD12" s="1"/>
      <c r="AE12" s="82">
        <v>7</v>
      </c>
      <c r="AF12" s="74">
        <v>0.29166666666666702</v>
      </c>
      <c r="AG12" s="78">
        <v>0.4</v>
      </c>
      <c r="AH12" s="99">
        <f t="shared" si="9"/>
        <v>3.0276000000000001</v>
      </c>
      <c r="AI12" s="61">
        <f t="shared" si="10"/>
        <v>3.7</v>
      </c>
      <c r="AJ12" s="93">
        <f t="shared" si="11"/>
        <v>0.67240000000000011</v>
      </c>
      <c r="AK12" s="91">
        <f>SUM($AJ$5:AJ12)</f>
        <v>18.057275000000001</v>
      </c>
      <c r="AL12" s="61">
        <f t="shared" si="12"/>
        <v>3.7</v>
      </c>
      <c r="AM12" s="494" t="s">
        <v>185</v>
      </c>
      <c r="AN12" s="495"/>
      <c r="AO12" s="1"/>
      <c r="AP12" s="1"/>
      <c r="AQ12" s="1"/>
      <c r="AR12" s="1"/>
      <c r="AS12" s="1"/>
      <c r="AT12" s="1"/>
    </row>
    <row r="13" spans="1:46" x14ac:dyDescent="0.25">
      <c r="A13" s="1"/>
      <c r="B13" s="1"/>
      <c r="C13" s="1"/>
      <c r="D13" s="82">
        <v>8</v>
      </c>
      <c r="E13" s="74">
        <v>0.33333333333333298</v>
      </c>
      <c r="F13" s="78">
        <v>0.6</v>
      </c>
      <c r="G13" s="99">
        <f t="shared" ref="G13" si="19">F13*2.5</f>
        <v>1.5</v>
      </c>
      <c r="H13" s="61">
        <f t="shared" si="0"/>
        <v>1.23</v>
      </c>
      <c r="I13" s="93">
        <f t="shared" si="2"/>
        <v>-0.27</v>
      </c>
      <c r="J13" s="91">
        <f>SUM($I$5:I13)</f>
        <v>5.7575000000000021</v>
      </c>
      <c r="K13" s="1"/>
      <c r="L13" s="1"/>
      <c r="M13" s="82">
        <v>8</v>
      </c>
      <c r="N13" s="74">
        <v>0.33333333333333298</v>
      </c>
      <c r="O13" s="78">
        <v>0.6</v>
      </c>
      <c r="P13" s="99">
        <f t="shared" si="3"/>
        <v>2.0205000000000002</v>
      </c>
      <c r="Q13" s="61">
        <f t="shared" si="4"/>
        <v>1.64</v>
      </c>
      <c r="R13" s="93">
        <f t="shared" si="5"/>
        <v>-0.38050000000000028</v>
      </c>
      <c r="S13" s="91">
        <f>SUM($R$5:R13)</f>
        <v>7.6040624999999995</v>
      </c>
      <c r="T13" s="1"/>
      <c r="U13" s="1"/>
      <c r="V13" s="82">
        <v>8</v>
      </c>
      <c r="W13" s="74">
        <v>0.33333333333333298</v>
      </c>
      <c r="X13" s="78">
        <v>0.6</v>
      </c>
      <c r="Y13" s="103">
        <f t="shared" si="6"/>
        <v>4.2299999999999995</v>
      </c>
      <c r="Z13" s="61">
        <f t="shared" si="7"/>
        <v>3.5</v>
      </c>
      <c r="AA13" s="93">
        <f t="shared" si="8"/>
        <v>-0.72999999999999954</v>
      </c>
      <c r="AB13" s="91">
        <f>SUM($AA$5:AA13)</f>
        <v>16.518749999999997</v>
      </c>
      <c r="AC13" s="1"/>
      <c r="AD13" s="1"/>
      <c r="AE13" s="82">
        <v>8</v>
      </c>
      <c r="AF13" s="74">
        <v>0.33333333333333298</v>
      </c>
      <c r="AG13" s="78">
        <v>0.6</v>
      </c>
      <c r="AH13" s="99">
        <f t="shared" si="9"/>
        <v>4.5414000000000003</v>
      </c>
      <c r="AI13" s="61">
        <f t="shared" si="10"/>
        <v>3.7</v>
      </c>
      <c r="AJ13" s="93">
        <f t="shared" si="11"/>
        <v>-0.84140000000000015</v>
      </c>
      <c r="AK13" s="91">
        <f>SUM($AJ$5:AJ13)</f>
        <v>17.215875</v>
      </c>
      <c r="AL13" s="61">
        <f t="shared" si="12"/>
        <v>3.7</v>
      </c>
      <c r="AM13" s="73">
        <v>0.33333333333333298</v>
      </c>
      <c r="AN13" s="174">
        <v>0.3</v>
      </c>
      <c r="AO13" s="1"/>
      <c r="AP13" s="1"/>
      <c r="AQ13" s="1"/>
      <c r="AR13" s="1"/>
      <c r="AS13" s="1"/>
      <c r="AT13" s="1"/>
    </row>
    <row r="14" spans="1:46" x14ac:dyDescent="0.25">
      <c r="A14" s="1"/>
      <c r="B14" s="1"/>
      <c r="C14" s="1"/>
      <c r="D14" s="82">
        <v>9</v>
      </c>
      <c r="E14" s="74">
        <v>0.375</v>
      </c>
      <c r="F14" s="78">
        <v>0.6</v>
      </c>
      <c r="G14" s="99">
        <f t="shared" ref="G14" si="20">F14*2.5</f>
        <v>1.5</v>
      </c>
      <c r="H14" s="61">
        <f t="shared" si="0"/>
        <v>1.23</v>
      </c>
      <c r="I14" s="93">
        <f t="shared" si="2"/>
        <v>-0.27</v>
      </c>
      <c r="J14" s="91">
        <f>SUM($I$5:I14)</f>
        <v>5.4875000000000025</v>
      </c>
      <c r="K14" s="1"/>
      <c r="L14" s="1"/>
      <c r="M14" s="82">
        <v>9</v>
      </c>
      <c r="N14" s="74">
        <v>0.375</v>
      </c>
      <c r="O14" s="78">
        <v>0.6</v>
      </c>
      <c r="P14" s="99">
        <f t="shared" si="3"/>
        <v>2.0205000000000002</v>
      </c>
      <c r="Q14" s="61">
        <f t="shared" si="4"/>
        <v>1.64</v>
      </c>
      <c r="R14" s="93">
        <f t="shared" si="5"/>
        <v>-0.38050000000000028</v>
      </c>
      <c r="S14" s="91">
        <f>SUM($R$5:R14)</f>
        <v>7.223562499999999</v>
      </c>
      <c r="T14" s="1"/>
      <c r="U14" s="1"/>
      <c r="V14" s="82">
        <v>9</v>
      </c>
      <c r="W14" s="74">
        <v>0.375</v>
      </c>
      <c r="X14" s="78">
        <v>0.6</v>
      </c>
      <c r="Y14" s="103">
        <f t="shared" si="6"/>
        <v>4.2299999999999995</v>
      </c>
      <c r="Z14" s="61">
        <f t="shared" si="7"/>
        <v>3.5</v>
      </c>
      <c r="AA14" s="93">
        <f t="shared" si="8"/>
        <v>-0.72999999999999954</v>
      </c>
      <c r="AB14" s="91">
        <f>SUM($AA$5:AA14)</f>
        <v>15.788749999999997</v>
      </c>
      <c r="AC14" s="1"/>
      <c r="AD14" s="1"/>
      <c r="AE14" s="82">
        <v>9</v>
      </c>
      <c r="AF14" s="74">
        <v>0.375</v>
      </c>
      <c r="AG14" s="78">
        <v>0.6</v>
      </c>
      <c r="AH14" s="99">
        <f t="shared" si="9"/>
        <v>4.5414000000000003</v>
      </c>
      <c r="AI14" s="61">
        <f t="shared" si="10"/>
        <v>3.7</v>
      </c>
      <c r="AJ14" s="93">
        <f t="shared" si="11"/>
        <v>-0.84140000000000015</v>
      </c>
      <c r="AK14" s="91">
        <f>SUM($AJ$5:AJ14)</f>
        <v>16.374475</v>
      </c>
      <c r="AL14" s="61">
        <f t="shared" si="12"/>
        <v>3.7</v>
      </c>
      <c r="AM14" s="74">
        <v>0.375</v>
      </c>
      <c r="AN14" s="175">
        <v>0.3</v>
      </c>
      <c r="AO14" s="1"/>
      <c r="AP14" s="1"/>
      <c r="AQ14" s="1"/>
      <c r="AR14" s="1"/>
      <c r="AS14" s="1"/>
      <c r="AT14" s="1"/>
    </row>
    <row r="15" spans="1:46" x14ac:dyDescent="0.25">
      <c r="A15" s="1"/>
      <c r="B15" s="1"/>
      <c r="C15" s="1"/>
      <c r="D15" s="82">
        <v>10</v>
      </c>
      <c r="E15" s="74">
        <v>0.41666666666666702</v>
      </c>
      <c r="F15" s="78">
        <v>0.55000000000000004</v>
      </c>
      <c r="G15" s="99">
        <f t="shared" ref="G15" si="21">F15*2.5</f>
        <v>1.375</v>
      </c>
      <c r="H15" s="61">
        <f t="shared" si="0"/>
        <v>1.23</v>
      </c>
      <c r="I15" s="93">
        <f t="shared" si="2"/>
        <v>-0.14500000000000002</v>
      </c>
      <c r="J15" s="91">
        <f>SUM($I$5:I15)</f>
        <v>5.3425000000000029</v>
      </c>
      <c r="K15" s="1"/>
      <c r="L15" s="1"/>
      <c r="M15" s="82">
        <v>10</v>
      </c>
      <c r="N15" s="74">
        <v>0.41666666666666702</v>
      </c>
      <c r="O15" s="78">
        <v>0.55000000000000004</v>
      </c>
      <c r="P15" s="99">
        <f t="shared" si="3"/>
        <v>1.852125</v>
      </c>
      <c r="Q15" s="61">
        <f t="shared" si="4"/>
        <v>1.64</v>
      </c>
      <c r="R15" s="93">
        <f t="shared" si="5"/>
        <v>-0.21212500000000012</v>
      </c>
      <c r="S15" s="91">
        <f>SUM($R$5:R15)</f>
        <v>7.0114374999999987</v>
      </c>
      <c r="T15" s="1"/>
      <c r="U15" s="1"/>
      <c r="V15" s="82">
        <v>10</v>
      </c>
      <c r="W15" s="74">
        <v>0.41666666666666702</v>
      </c>
      <c r="X15" s="78">
        <v>0.55000000000000004</v>
      </c>
      <c r="Y15" s="103">
        <f t="shared" si="6"/>
        <v>3.8774999999999999</v>
      </c>
      <c r="Z15" s="61">
        <f t="shared" si="7"/>
        <v>3.5</v>
      </c>
      <c r="AA15" s="93">
        <f t="shared" si="8"/>
        <v>-0.37749999999999995</v>
      </c>
      <c r="AB15" s="91">
        <f>SUM($AA$5:AA15)</f>
        <v>15.411249999999997</v>
      </c>
      <c r="AC15" s="1"/>
      <c r="AD15" s="1"/>
      <c r="AE15" s="82">
        <v>10</v>
      </c>
      <c r="AF15" s="74">
        <v>0.41666666666666702</v>
      </c>
      <c r="AG15" s="78">
        <v>0.55000000000000004</v>
      </c>
      <c r="AH15" s="99">
        <f t="shared" si="9"/>
        <v>4.1629500000000004</v>
      </c>
      <c r="AI15" s="61">
        <f t="shared" si="10"/>
        <v>3.7</v>
      </c>
      <c r="AJ15" s="93">
        <f t="shared" si="11"/>
        <v>-0.46295000000000019</v>
      </c>
      <c r="AK15" s="91">
        <f>SUM($AJ$5:AJ15)</f>
        <v>15.911525000000001</v>
      </c>
      <c r="AL15" s="61">
        <f t="shared" si="12"/>
        <v>3.7</v>
      </c>
      <c r="AM15" s="74">
        <v>0.41666666666666702</v>
      </c>
      <c r="AN15" s="175">
        <v>0.3</v>
      </c>
      <c r="AO15" s="1"/>
      <c r="AP15" s="1"/>
      <c r="AQ15" s="1"/>
      <c r="AR15" s="1"/>
      <c r="AS15" s="1"/>
      <c r="AT15" s="1"/>
    </row>
    <row r="16" spans="1:46" x14ac:dyDescent="0.25">
      <c r="A16" s="1"/>
      <c r="B16" s="1"/>
      <c r="C16" s="1"/>
      <c r="D16" s="82">
        <v>11</v>
      </c>
      <c r="E16" s="74">
        <v>0.45833333333333298</v>
      </c>
      <c r="F16" s="78">
        <v>0.5</v>
      </c>
      <c r="G16" s="99">
        <f t="shared" ref="G16" si="22">F16*2.5</f>
        <v>1.25</v>
      </c>
      <c r="H16" s="61">
        <f t="shared" si="0"/>
        <v>1.23</v>
      </c>
      <c r="I16" s="93">
        <f t="shared" si="2"/>
        <v>-2.0000000000000018E-2</v>
      </c>
      <c r="J16" s="91">
        <f>SUM($I$5:I16)</f>
        <v>5.3225000000000033</v>
      </c>
      <c r="K16" s="1"/>
      <c r="L16" s="1"/>
      <c r="M16" s="82">
        <v>11</v>
      </c>
      <c r="N16" s="74">
        <v>0.45833333333333298</v>
      </c>
      <c r="O16" s="78">
        <v>0.5</v>
      </c>
      <c r="P16" s="99">
        <f t="shared" si="3"/>
        <v>1.6837499999999999</v>
      </c>
      <c r="Q16" s="61">
        <f t="shared" si="4"/>
        <v>1.64</v>
      </c>
      <c r="R16" s="93">
        <f t="shared" si="5"/>
        <v>-4.3749999999999956E-2</v>
      </c>
      <c r="S16" s="91">
        <f>SUM($R$5:R16)</f>
        <v>6.9676874999999985</v>
      </c>
      <c r="T16" s="1"/>
      <c r="U16" s="1"/>
      <c r="V16" s="82">
        <v>11</v>
      </c>
      <c r="W16" s="74">
        <v>0.45833333333333298</v>
      </c>
      <c r="X16" s="78">
        <v>0.5</v>
      </c>
      <c r="Y16" s="103">
        <f t="shared" si="6"/>
        <v>3.5249999999999999</v>
      </c>
      <c r="Z16" s="61">
        <f t="shared" si="7"/>
        <v>3.5</v>
      </c>
      <c r="AA16" s="93">
        <f t="shared" si="8"/>
        <v>-2.4999999999999911E-2</v>
      </c>
      <c r="AB16" s="91">
        <f>SUM($AA$5:AA16)</f>
        <v>15.386249999999997</v>
      </c>
      <c r="AC16" s="1"/>
      <c r="AD16" s="1"/>
      <c r="AE16" s="82">
        <v>11</v>
      </c>
      <c r="AF16" s="74">
        <v>0.45833333333333298</v>
      </c>
      <c r="AG16" s="78">
        <v>0.5</v>
      </c>
      <c r="AH16" s="99">
        <f t="shared" si="9"/>
        <v>3.7845</v>
      </c>
      <c r="AI16" s="61">
        <f t="shared" si="10"/>
        <v>3.7</v>
      </c>
      <c r="AJ16" s="93">
        <f t="shared" si="11"/>
        <v>-8.4499999999999797E-2</v>
      </c>
      <c r="AK16" s="91">
        <f>SUM($AJ$5:AJ16)</f>
        <v>15.827025000000001</v>
      </c>
      <c r="AL16" s="61">
        <f t="shared" si="12"/>
        <v>3.7</v>
      </c>
      <c r="AM16" s="74">
        <v>0.45833333333333298</v>
      </c>
      <c r="AN16" s="175">
        <v>0.3</v>
      </c>
      <c r="AO16" s="1"/>
      <c r="AP16" s="1"/>
      <c r="AQ16" s="1"/>
      <c r="AR16" s="1"/>
      <c r="AS16" s="1"/>
      <c r="AT16" s="1"/>
    </row>
    <row r="17" spans="1:46" x14ac:dyDescent="0.25">
      <c r="A17" s="1"/>
      <c r="B17" s="1"/>
      <c r="C17" s="1"/>
      <c r="D17" s="82">
        <v>12</v>
      </c>
      <c r="E17" s="74">
        <v>0.5</v>
      </c>
      <c r="F17" s="78">
        <v>0.5</v>
      </c>
      <c r="G17" s="99">
        <f t="shared" ref="G17" si="23">F17*2.5</f>
        <v>1.25</v>
      </c>
      <c r="H17" s="61">
        <f t="shared" si="0"/>
        <v>1.23</v>
      </c>
      <c r="I17" s="93">
        <f t="shared" si="2"/>
        <v>-2.0000000000000018E-2</v>
      </c>
      <c r="J17" s="91">
        <f>SUM($I$5:I17)</f>
        <v>5.3025000000000038</v>
      </c>
      <c r="K17" s="1"/>
      <c r="L17" s="1"/>
      <c r="M17" s="82">
        <v>12</v>
      </c>
      <c r="N17" s="74">
        <v>0.5</v>
      </c>
      <c r="O17" s="78">
        <v>0.5</v>
      </c>
      <c r="P17" s="99">
        <f t="shared" si="3"/>
        <v>1.6837499999999999</v>
      </c>
      <c r="Q17" s="61">
        <f t="shared" si="4"/>
        <v>1.64</v>
      </c>
      <c r="R17" s="93">
        <f t="shared" si="5"/>
        <v>-4.3749999999999956E-2</v>
      </c>
      <c r="S17" s="91">
        <f>SUM($R$5:R17)</f>
        <v>6.9239374999999983</v>
      </c>
      <c r="T17" s="1"/>
      <c r="U17" s="1"/>
      <c r="V17" s="82">
        <v>12</v>
      </c>
      <c r="W17" s="74">
        <v>0.5</v>
      </c>
      <c r="X17" s="78">
        <v>0.5</v>
      </c>
      <c r="Y17" s="103">
        <f t="shared" si="6"/>
        <v>3.5249999999999999</v>
      </c>
      <c r="Z17" s="61">
        <f t="shared" si="7"/>
        <v>3.5</v>
      </c>
      <c r="AA17" s="93">
        <f t="shared" si="8"/>
        <v>-2.4999999999999911E-2</v>
      </c>
      <c r="AB17" s="91">
        <f>SUM($AA$5:AA17)</f>
        <v>15.361249999999997</v>
      </c>
      <c r="AC17" s="1"/>
      <c r="AD17" s="1"/>
      <c r="AE17" s="82">
        <v>12</v>
      </c>
      <c r="AF17" s="74">
        <v>0.5</v>
      </c>
      <c r="AG17" s="78">
        <v>0.5</v>
      </c>
      <c r="AH17" s="99">
        <f t="shared" si="9"/>
        <v>3.7845</v>
      </c>
      <c r="AI17" s="61">
        <f t="shared" si="10"/>
        <v>3.7</v>
      </c>
      <c r="AJ17" s="93">
        <f t="shared" si="11"/>
        <v>-8.4499999999999797E-2</v>
      </c>
      <c r="AK17" s="91">
        <f>SUM($AJ$5:AJ17)</f>
        <v>15.742525000000001</v>
      </c>
      <c r="AL17" s="61">
        <f t="shared" si="12"/>
        <v>3.7</v>
      </c>
      <c r="AM17" s="74">
        <v>0.5</v>
      </c>
      <c r="AN17" s="175">
        <v>0.3</v>
      </c>
      <c r="AO17" s="1"/>
      <c r="AP17" s="1"/>
      <c r="AQ17" s="1"/>
      <c r="AR17" s="1"/>
      <c r="AS17" s="1"/>
      <c r="AT17" s="1"/>
    </row>
    <row r="18" spans="1:46" x14ac:dyDescent="0.25">
      <c r="A18" s="1"/>
      <c r="B18" s="1"/>
      <c r="C18" s="1"/>
      <c r="D18" s="82">
        <v>13</v>
      </c>
      <c r="E18" s="74">
        <v>0.54166666666666696</v>
      </c>
      <c r="F18" s="78">
        <v>0.5</v>
      </c>
      <c r="G18" s="99">
        <f t="shared" ref="G18" si="24">F18*2.5</f>
        <v>1.25</v>
      </c>
      <c r="H18" s="61">
        <f t="shared" si="0"/>
        <v>1.23</v>
      </c>
      <c r="I18" s="93">
        <f t="shared" si="2"/>
        <v>-2.0000000000000018E-2</v>
      </c>
      <c r="J18" s="91">
        <f>SUM($I$5:I18)</f>
        <v>5.2825000000000042</v>
      </c>
      <c r="K18" s="1"/>
      <c r="L18" s="1"/>
      <c r="M18" s="82">
        <v>13</v>
      </c>
      <c r="N18" s="74">
        <v>0.54166666666666696</v>
      </c>
      <c r="O18" s="78">
        <v>0.5</v>
      </c>
      <c r="P18" s="99">
        <f t="shared" si="3"/>
        <v>1.6837499999999999</v>
      </c>
      <c r="Q18" s="61">
        <f t="shared" si="4"/>
        <v>1.64</v>
      </c>
      <c r="R18" s="93">
        <f t="shared" si="5"/>
        <v>-4.3749999999999956E-2</v>
      </c>
      <c r="S18" s="91">
        <f>SUM($R$5:R18)</f>
        <v>6.8801874999999981</v>
      </c>
      <c r="T18" s="1"/>
      <c r="U18" s="1"/>
      <c r="V18" s="82">
        <v>13</v>
      </c>
      <c r="W18" s="74">
        <v>0.54166666666666696</v>
      </c>
      <c r="X18" s="78">
        <v>0.5</v>
      </c>
      <c r="Y18" s="103">
        <f t="shared" si="6"/>
        <v>3.5249999999999999</v>
      </c>
      <c r="Z18" s="61">
        <f t="shared" si="7"/>
        <v>3.5</v>
      </c>
      <c r="AA18" s="93">
        <f t="shared" si="8"/>
        <v>-2.4999999999999911E-2</v>
      </c>
      <c r="AB18" s="91">
        <f>SUM($AA$5:AA18)</f>
        <v>15.336249999999996</v>
      </c>
      <c r="AC18" s="1"/>
      <c r="AD18" s="1"/>
      <c r="AE18" s="82">
        <v>13</v>
      </c>
      <c r="AF18" s="74">
        <v>0.54166666666666696</v>
      </c>
      <c r="AG18" s="78">
        <v>0.5</v>
      </c>
      <c r="AH18" s="99">
        <f t="shared" si="9"/>
        <v>3.7845</v>
      </c>
      <c r="AI18" s="61">
        <f t="shared" si="10"/>
        <v>3.7</v>
      </c>
      <c r="AJ18" s="93">
        <f t="shared" si="11"/>
        <v>-8.4499999999999797E-2</v>
      </c>
      <c r="AK18" s="91">
        <f>SUM($AJ$5:AJ18)</f>
        <v>15.658025</v>
      </c>
      <c r="AL18" s="61">
        <f t="shared" si="12"/>
        <v>3.7</v>
      </c>
      <c r="AM18" s="74">
        <v>0.54166666666666696</v>
      </c>
      <c r="AN18" s="175">
        <v>0.3</v>
      </c>
      <c r="AO18" s="1"/>
      <c r="AP18" s="1"/>
      <c r="AQ18" s="1"/>
      <c r="AR18" s="1"/>
      <c r="AS18" s="1"/>
      <c r="AT18" s="1"/>
    </row>
    <row r="19" spans="1:46" x14ac:dyDescent="0.25">
      <c r="A19" s="1"/>
      <c r="B19" s="1"/>
      <c r="C19" s="1"/>
      <c r="D19" s="82">
        <v>14</v>
      </c>
      <c r="E19" s="74">
        <v>0.58333333333333304</v>
      </c>
      <c r="F19" s="78">
        <v>0.5</v>
      </c>
      <c r="G19" s="99">
        <f t="shared" ref="G19" si="25">F19*2.5</f>
        <v>1.25</v>
      </c>
      <c r="H19" s="61">
        <f t="shared" si="0"/>
        <v>1.23</v>
      </c>
      <c r="I19" s="93">
        <f t="shared" si="2"/>
        <v>-2.0000000000000018E-2</v>
      </c>
      <c r="J19" s="91">
        <f>SUM($I$5:I19)</f>
        <v>5.2625000000000046</v>
      </c>
      <c r="K19" s="1"/>
      <c r="L19" s="1"/>
      <c r="M19" s="82">
        <v>14</v>
      </c>
      <c r="N19" s="74">
        <v>0.58333333333333304</v>
      </c>
      <c r="O19" s="78">
        <v>0.5</v>
      </c>
      <c r="P19" s="99">
        <f t="shared" si="3"/>
        <v>1.6837499999999999</v>
      </c>
      <c r="Q19" s="61">
        <f t="shared" si="4"/>
        <v>1.64</v>
      </c>
      <c r="R19" s="93">
        <f t="shared" si="5"/>
        <v>-4.3749999999999956E-2</v>
      </c>
      <c r="S19" s="91">
        <f>SUM($R$5:R19)</f>
        <v>6.8364374999999979</v>
      </c>
      <c r="T19" s="1"/>
      <c r="U19" s="1"/>
      <c r="V19" s="82">
        <v>14</v>
      </c>
      <c r="W19" s="74">
        <v>0.58333333333333304</v>
      </c>
      <c r="X19" s="78">
        <v>0.5</v>
      </c>
      <c r="Y19" s="103">
        <f t="shared" si="6"/>
        <v>3.5249999999999999</v>
      </c>
      <c r="Z19" s="61">
        <f t="shared" si="7"/>
        <v>3.5</v>
      </c>
      <c r="AA19" s="93">
        <f t="shared" si="8"/>
        <v>-2.4999999999999911E-2</v>
      </c>
      <c r="AB19" s="91">
        <f>SUM($AA$5:AA19)</f>
        <v>15.311249999999996</v>
      </c>
      <c r="AC19" s="1"/>
      <c r="AD19" s="1"/>
      <c r="AE19" s="82">
        <v>14</v>
      </c>
      <c r="AF19" s="74">
        <v>0.58333333333333304</v>
      </c>
      <c r="AG19" s="78">
        <v>0.5</v>
      </c>
      <c r="AH19" s="99">
        <f t="shared" si="9"/>
        <v>3.7845</v>
      </c>
      <c r="AI19" s="61">
        <f t="shared" si="10"/>
        <v>3.7</v>
      </c>
      <c r="AJ19" s="93">
        <f t="shared" si="11"/>
        <v>-8.4499999999999797E-2</v>
      </c>
      <c r="AK19" s="91">
        <f>SUM($AJ$5:AJ19)</f>
        <v>15.573525</v>
      </c>
      <c r="AL19" s="61">
        <f t="shared" si="12"/>
        <v>3.7</v>
      </c>
      <c r="AM19" s="74">
        <v>0.58333333333333304</v>
      </c>
      <c r="AN19" s="175">
        <v>0.3</v>
      </c>
      <c r="AO19" s="1"/>
      <c r="AP19" s="1"/>
      <c r="AQ19" s="1"/>
      <c r="AR19" s="1"/>
      <c r="AS19" s="1"/>
      <c r="AT19" s="1"/>
    </row>
    <row r="20" spans="1:46" x14ac:dyDescent="0.25">
      <c r="A20" s="1"/>
      <c r="B20" s="1"/>
      <c r="C20" s="1"/>
      <c r="D20" s="82">
        <v>15</v>
      </c>
      <c r="E20" s="74">
        <v>0.625</v>
      </c>
      <c r="F20" s="78">
        <v>0.5</v>
      </c>
      <c r="G20" s="99">
        <f t="shared" ref="G20" si="26">F20*2.5</f>
        <v>1.25</v>
      </c>
      <c r="H20" s="61">
        <f t="shared" si="0"/>
        <v>1.23</v>
      </c>
      <c r="I20" s="93">
        <f t="shared" si="2"/>
        <v>-2.0000000000000018E-2</v>
      </c>
      <c r="J20" s="91">
        <f>SUM($I$5:I20)</f>
        <v>5.242500000000005</v>
      </c>
      <c r="K20" s="1"/>
      <c r="L20" s="1"/>
      <c r="M20" s="82">
        <v>15</v>
      </c>
      <c r="N20" s="74">
        <v>0.625</v>
      </c>
      <c r="O20" s="78">
        <v>0.5</v>
      </c>
      <c r="P20" s="99">
        <f t="shared" si="3"/>
        <v>1.6837499999999999</v>
      </c>
      <c r="Q20" s="61">
        <f t="shared" si="4"/>
        <v>1.64</v>
      </c>
      <c r="R20" s="93">
        <f t="shared" si="5"/>
        <v>-4.3749999999999956E-2</v>
      </c>
      <c r="S20" s="91">
        <f>SUM($R$5:R20)</f>
        <v>6.7926874999999978</v>
      </c>
      <c r="T20" s="1"/>
      <c r="U20" s="1"/>
      <c r="V20" s="82">
        <v>15</v>
      </c>
      <c r="W20" s="74">
        <v>0.625</v>
      </c>
      <c r="X20" s="78">
        <v>0.5</v>
      </c>
      <c r="Y20" s="103">
        <f t="shared" si="6"/>
        <v>3.5249999999999999</v>
      </c>
      <c r="Z20" s="61">
        <f t="shared" si="7"/>
        <v>3.5</v>
      </c>
      <c r="AA20" s="93">
        <f t="shared" si="8"/>
        <v>-2.4999999999999911E-2</v>
      </c>
      <c r="AB20" s="91">
        <f>SUM($AA$5:AA20)</f>
        <v>15.286249999999995</v>
      </c>
      <c r="AC20" s="1"/>
      <c r="AD20" s="1"/>
      <c r="AE20" s="82">
        <v>15</v>
      </c>
      <c r="AF20" s="74">
        <v>0.625</v>
      </c>
      <c r="AG20" s="78">
        <v>0.5</v>
      </c>
      <c r="AH20" s="99">
        <f t="shared" si="9"/>
        <v>3.7845</v>
      </c>
      <c r="AI20" s="61">
        <f t="shared" si="10"/>
        <v>3.7</v>
      </c>
      <c r="AJ20" s="93">
        <f t="shared" si="11"/>
        <v>-8.4499999999999797E-2</v>
      </c>
      <c r="AK20" s="91">
        <f>SUM($AJ$5:AJ20)</f>
        <v>15.489025</v>
      </c>
      <c r="AL20" s="61">
        <f t="shared" si="12"/>
        <v>3.7</v>
      </c>
      <c r="AM20" s="74">
        <v>0.625</v>
      </c>
      <c r="AN20" s="175">
        <v>0.3</v>
      </c>
      <c r="AO20" s="1"/>
      <c r="AP20" s="1"/>
      <c r="AQ20" s="1"/>
      <c r="AR20" s="1"/>
      <c r="AS20" s="1"/>
      <c r="AT20" s="1"/>
    </row>
    <row r="21" spans="1:46" x14ac:dyDescent="0.25">
      <c r="A21" s="1"/>
      <c r="B21" s="1"/>
      <c r="C21" s="1"/>
      <c r="D21" s="82">
        <v>16</v>
      </c>
      <c r="E21" s="74">
        <v>0.66666666666666696</v>
      </c>
      <c r="F21" s="78">
        <v>0.6</v>
      </c>
      <c r="G21" s="99">
        <f t="shared" ref="G21" si="27">F21*2.5</f>
        <v>1.5</v>
      </c>
      <c r="H21" s="61">
        <f t="shared" si="0"/>
        <v>1.23</v>
      </c>
      <c r="I21" s="93">
        <f t="shared" si="2"/>
        <v>-0.27</v>
      </c>
      <c r="J21" s="91">
        <f>SUM($I$5:I21)</f>
        <v>4.9725000000000055</v>
      </c>
      <c r="K21" s="1"/>
      <c r="L21" s="1"/>
      <c r="M21" s="82">
        <v>16</v>
      </c>
      <c r="N21" s="74">
        <v>0.66666666666666696</v>
      </c>
      <c r="O21" s="78">
        <v>0.6</v>
      </c>
      <c r="P21" s="99">
        <f t="shared" si="3"/>
        <v>2.0205000000000002</v>
      </c>
      <c r="Q21" s="61">
        <f t="shared" si="4"/>
        <v>1.64</v>
      </c>
      <c r="R21" s="93">
        <f t="shared" si="5"/>
        <v>-0.38050000000000028</v>
      </c>
      <c r="S21" s="91">
        <f>SUM($R$5:R21)</f>
        <v>6.4121874999999973</v>
      </c>
      <c r="T21" s="1"/>
      <c r="U21" s="1"/>
      <c r="V21" s="82">
        <v>16</v>
      </c>
      <c r="W21" s="74">
        <v>0.66666666666666696</v>
      </c>
      <c r="X21" s="78">
        <v>0.6</v>
      </c>
      <c r="Y21" s="103">
        <f t="shared" si="6"/>
        <v>4.2299999999999995</v>
      </c>
      <c r="Z21" s="61">
        <f t="shared" si="7"/>
        <v>3.5</v>
      </c>
      <c r="AA21" s="93">
        <f t="shared" si="8"/>
        <v>-0.72999999999999954</v>
      </c>
      <c r="AB21" s="91">
        <f>SUM($AA$5:AA21)</f>
        <v>14.556249999999995</v>
      </c>
      <c r="AC21" s="1"/>
      <c r="AD21" s="1"/>
      <c r="AE21" s="82">
        <v>16</v>
      </c>
      <c r="AF21" s="74">
        <v>0.66666666666666696</v>
      </c>
      <c r="AG21" s="78">
        <v>0.6</v>
      </c>
      <c r="AH21" s="99">
        <f t="shared" si="9"/>
        <v>4.5414000000000003</v>
      </c>
      <c r="AI21" s="61">
        <f t="shared" si="10"/>
        <v>3.7</v>
      </c>
      <c r="AJ21" s="93">
        <f t="shared" si="11"/>
        <v>-0.84140000000000015</v>
      </c>
      <c r="AK21" s="91">
        <f>SUM($AJ$5:AJ21)</f>
        <v>14.647625</v>
      </c>
      <c r="AL21" s="61">
        <f t="shared" si="12"/>
        <v>3.7</v>
      </c>
      <c r="AM21" s="173">
        <v>0.66666666666666696</v>
      </c>
      <c r="AN21" s="176">
        <v>0.3</v>
      </c>
      <c r="AO21" s="1"/>
      <c r="AP21" s="1"/>
      <c r="AQ21" s="1"/>
      <c r="AR21" s="1"/>
      <c r="AS21" s="1"/>
      <c r="AT21" s="1"/>
    </row>
    <row r="22" spans="1:46" x14ac:dyDescent="0.25">
      <c r="A22" s="1"/>
      <c r="B22" s="1"/>
      <c r="C22" s="1"/>
      <c r="D22" s="82">
        <v>17</v>
      </c>
      <c r="E22" s="74">
        <v>0.70833333333333304</v>
      </c>
      <c r="F22" s="78">
        <v>0.7</v>
      </c>
      <c r="G22" s="99">
        <f t="shared" ref="G22" si="28">F22*2.5</f>
        <v>1.75</v>
      </c>
      <c r="H22" s="61">
        <f t="shared" si="0"/>
        <v>1.23</v>
      </c>
      <c r="I22" s="93">
        <f t="shared" si="2"/>
        <v>-0.52</v>
      </c>
      <c r="J22" s="91">
        <f>SUM($I$5:I22)</f>
        <v>4.4525000000000059</v>
      </c>
      <c r="K22" s="1"/>
      <c r="L22" s="1"/>
      <c r="M22" s="82">
        <v>17</v>
      </c>
      <c r="N22" s="74">
        <v>0.70833333333333304</v>
      </c>
      <c r="O22" s="78">
        <v>0.7</v>
      </c>
      <c r="P22" s="99">
        <f t="shared" si="3"/>
        <v>2.3572500000000001</v>
      </c>
      <c r="Q22" s="61">
        <f t="shared" si="4"/>
        <v>1.64</v>
      </c>
      <c r="R22" s="93">
        <f t="shared" si="5"/>
        <v>-0.71725000000000017</v>
      </c>
      <c r="S22" s="91">
        <f>SUM($R$5:R22)</f>
        <v>5.6949374999999973</v>
      </c>
      <c r="T22" s="1"/>
      <c r="U22" s="1"/>
      <c r="V22" s="82">
        <v>17</v>
      </c>
      <c r="W22" s="74">
        <v>0.70833333333333304</v>
      </c>
      <c r="X22" s="78">
        <v>0.7</v>
      </c>
      <c r="Y22" s="103">
        <f t="shared" si="6"/>
        <v>4.9349999999999996</v>
      </c>
      <c r="Z22" s="61">
        <f t="shared" si="7"/>
        <v>3.5</v>
      </c>
      <c r="AA22" s="93">
        <f t="shared" si="8"/>
        <v>-1.4349999999999996</v>
      </c>
      <c r="AB22" s="91">
        <f>SUM($AA$5:AA22)</f>
        <v>13.121249999999996</v>
      </c>
      <c r="AC22" s="1"/>
      <c r="AD22" s="1"/>
      <c r="AE22" s="82">
        <v>17</v>
      </c>
      <c r="AF22" s="74">
        <v>0.70833333333333304</v>
      </c>
      <c r="AG22" s="78">
        <v>0.7</v>
      </c>
      <c r="AH22" s="99">
        <f t="shared" si="9"/>
        <v>5.2983000000000002</v>
      </c>
      <c r="AI22" s="61">
        <f t="shared" si="10"/>
        <v>3.7</v>
      </c>
      <c r="AJ22" s="93">
        <f t="shared" si="11"/>
        <v>-1.5983000000000001</v>
      </c>
      <c r="AK22" s="91">
        <f>SUM($AJ$5:AJ22)</f>
        <v>13.049325</v>
      </c>
      <c r="AL22" s="61">
        <f t="shared" si="12"/>
        <v>3.7</v>
      </c>
      <c r="AM22" s="174" t="s">
        <v>191</v>
      </c>
      <c r="AN22" s="174">
        <f>SUM(AN13:AN21)</f>
        <v>2.6999999999999997</v>
      </c>
      <c r="AO22" s="1"/>
      <c r="AP22" s="1"/>
      <c r="AQ22" s="1"/>
      <c r="AR22" s="1"/>
      <c r="AS22" s="1"/>
      <c r="AT22" s="1"/>
    </row>
    <row r="23" spans="1:46" x14ac:dyDescent="0.25">
      <c r="A23" s="1"/>
      <c r="B23" s="1"/>
      <c r="C23" s="1"/>
      <c r="D23" s="82">
        <v>18</v>
      </c>
      <c r="E23" s="74">
        <v>0.75</v>
      </c>
      <c r="F23" s="78">
        <v>0.8</v>
      </c>
      <c r="G23" s="99">
        <f t="shared" ref="G23" si="29">F23*2.5</f>
        <v>2</v>
      </c>
      <c r="H23" s="61">
        <f t="shared" si="0"/>
        <v>1.23</v>
      </c>
      <c r="I23" s="93">
        <f t="shared" si="2"/>
        <v>-0.77</v>
      </c>
      <c r="J23" s="91">
        <f>SUM($I$5:I23)</f>
        <v>3.6825000000000059</v>
      </c>
      <c r="K23" s="1"/>
      <c r="L23" s="1"/>
      <c r="M23" s="82">
        <v>18</v>
      </c>
      <c r="N23" s="74">
        <v>0.75</v>
      </c>
      <c r="O23" s="78">
        <v>0.8</v>
      </c>
      <c r="P23" s="99">
        <f t="shared" si="3"/>
        <v>2.694</v>
      </c>
      <c r="Q23" s="61">
        <f t="shared" si="4"/>
        <v>1.64</v>
      </c>
      <c r="R23" s="93">
        <f t="shared" si="5"/>
        <v>-1.054</v>
      </c>
      <c r="S23" s="91">
        <f>SUM($R$5:R23)</f>
        <v>4.6409374999999971</v>
      </c>
      <c r="T23" s="1"/>
      <c r="U23" s="1"/>
      <c r="V23" s="82">
        <v>18</v>
      </c>
      <c r="W23" s="74">
        <v>0.75</v>
      </c>
      <c r="X23" s="78">
        <v>0.8</v>
      </c>
      <c r="Y23" s="103">
        <f t="shared" si="6"/>
        <v>5.64</v>
      </c>
      <c r="Z23" s="61">
        <f t="shared" si="7"/>
        <v>3.5</v>
      </c>
      <c r="AA23" s="93">
        <f t="shared" si="8"/>
        <v>-2.1399999999999997</v>
      </c>
      <c r="AB23" s="91">
        <f>SUM($AA$5:AA23)</f>
        <v>10.981249999999996</v>
      </c>
      <c r="AC23" s="1"/>
      <c r="AD23" s="1"/>
      <c r="AE23" s="82">
        <v>18</v>
      </c>
      <c r="AF23" s="74">
        <v>0.75</v>
      </c>
      <c r="AG23" s="78">
        <v>0.8</v>
      </c>
      <c r="AH23" s="99">
        <f>AG23*2.5*$AE$3</f>
        <v>6.0552000000000001</v>
      </c>
      <c r="AI23" s="61">
        <f t="shared" si="10"/>
        <v>3.7</v>
      </c>
      <c r="AJ23" s="93">
        <f t="shared" si="11"/>
        <v>-2.3552</v>
      </c>
      <c r="AK23" s="91">
        <f>SUM($AJ$5:AJ23)</f>
        <v>10.694125</v>
      </c>
      <c r="AL23" s="61">
        <f t="shared" si="12"/>
        <v>3.7</v>
      </c>
      <c r="AM23" s="175" t="s">
        <v>194</v>
      </c>
      <c r="AN23" s="175">
        <f>AN22/24</f>
        <v>0.11249999999999999</v>
      </c>
      <c r="AO23" s="1"/>
      <c r="AP23" s="1"/>
      <c r="AQ23" s="1"/>
      <c r="AR23" s="1"/>
      <c r="AS23" s="1"/>
      <c r="AT23" s="1"/>
    </row>
    <row r="24" spans="1:46" x14ac:dyDescent="0.25">
      <c r="A24" s="1"/>
      <c r="B24" s="1"/>
      <c r="C24" s="1"/>
      <c r="D24" s="82">
        <v>19</v>
      </c>
      <c r="E24" s="74">
        <v>0.79166666666666696</v>
      </c>
      <c r="F24" s="78">
        <v>0.8</v>
      </c>
      <c r="G24" s="99">
        <f t="shared" ref="G24" si="30">F24*2.5</f>
        <v>2</v>
      </c>
      <c r="H24" s="61">
        <f t="shared" si="0"/>
        <v>1.23</v>
      </c>
      <c r="I24" s="93">
        <f t="shared" si="2"/>
        <v>-0.77</v>
      </c>
      <c r="J24" s="91">
        <f>SUM($I$5:I24)</f>
        <v>2.9125000000000059</v>
      </c>
      <c r="K24" s="1"/>
      <c r="L24" s="1"/>
      <c r="M24" s="82">
        <v>19</v>
      </c>
      <c r="N24" s="74">
        <v>0.79166666666666696</v>
      </c>
      <c r="O24" s="78">
        <v>0.8</v>
      </c>
      <c r="P24" s="99">
        <f t="shared" si="3"/>
        <v>2.694</v>
      </c>
      <c r="Q24" s="61">
        <f t="shared" si="4"/>
        <v>1.64</v>
      </c>
      <c r="R24" s="93">
        <f t="shared" si="5"/>
        <v>-1.054</v>
      </c>
      <c r="S24" s="91">
        <f>SUM($R$5:R24)</f>
        <v>3.5869374999999968</v>
      </c>
      <c r="T24" s="1"/>
      <c r="U24" s="1"/>
      <c r="V24" s="82">
        <v>19</v>
      </c>
      <c r="W24" s="74">
        <v>0.79166666666666696</v>
      </c>
      <c r="X24" s="78">
        <v>0.8</v>
      </c>
      <c r="Y24" s="103">
        <f t="shared" si="6"/>
        <v>5.64</v>
      </c>
      <c r="Z24" s="61">
        <f t="shared" si="7"/>
        <v>3.5</v>
      </c>
      <c r="AA24" s="93">
        <f t="shared" si="8"/>
        <v>-2.1399999999999997</v>
      </c>
      <c r="AB24" s="91">
        <f>SUM($AA$5:AA24)</f>
        <v>8.8412499999999952</v>
      </c>
      <c r="AC24" s="1"/>
      <c r="AD24" s="1"/>
      <c r="AE24" s="82">
        <v>19</v>
      </c>
      <c r="AF24" s="74">
        <v>0.79166666666666696</v>
      </c>
      <c r="AG24" s="78">
        <v>0.8</v>
      </c>
      <c r="AH24" s="99">
        <f t="shared" si="9"/>
        <v>6.0552000000000001</v>
      </c>
      <c r="AI24" s="61">
        <f t="shared" si="10"/>
        <v>3.7</v>
      </c>
      <c r="AJ24" s="93">
        <f t="shared" si="11"/>
        <v>-2.3552</v>
      </c>
      <c r="AK24" s="91">
        <f>SUM($AJ$5:AJ24)</f>
        <v>8.3389249999999997</v>
      </c>
      <c r="AL24" s="61">
        <f t="shared" si="12"/>
        <v>3.7</v>
      </c>
      <c r="AM24" s="175" t="s">
        <v>192</v>
      </c>
      <c r="AN24" s="175">
        <f>AI5-AN23</f>
        <v>3.5875000000000004</v>
      </c>
      <c r="AO24" s="1"/>
      <c r="AP24" s="1"/>
      <c r="AQ24" s="1"/>
      <c r="AR24" s="1"/>
      <c r="AS24" s="1"/>
      <c r="AT24" s="1"/>
    </row>
    <row r="25" spans="1:46" x14ac:dyDescent="0.25">
      <c r="A25" s="1"/>
      <c r="B25" s="1"/>
      <c r="C25" s="1"/>
      <c r="D25" s="82">
        <v>20</v>
      </c>
      <c r="E25" s="74">
        <v>0.83333333333333304</v>
      </c>
      <c r="F25" s="78">
        <v>0.8</v>
      </c>
      <c r="G25" s="99">
        <f t="shared" ref="G25" si="31">F25*2.5</f>
        <v>2</v>
      </c>
      <c r="H25" s="61">
        <f t="shared" si="0"/>
        <v>1.23</v>
      </c>
      <c r="I25" s="93">
        <f t="shared" si="2"/>
        <v>-0.77</v>
      </c>
      <c r="J25" s="91">
        <f>SUM($I$5:I25)</f>
        <v>2.1425000000000058</v>
      </c>
      <c r="K25" s="1"/>
      <c r="L25" s="1"/>
      <c r="M25" s="82">
        <v>20</v>
      </c>
      <c r="N25" s="74">
        <v>0.83333333333333304</v>
      </c>
      <c r="O25" s="78">
        <v>0.8</v>
      </c>
      <c r="P25" s="99">
        <f t="shared" si="3"/>
        <v>2.694</v>
      </c>
      <c r="Q25" s="61">
        <f t="shared" si="4"/>
        <v>1.64</v>
      </c>
      <c r="R25" s="93">
        <f t="shared" si="5"/>
        <v>-1.054</v>
      </c>
      <c r="S25" s="91">
        <f>SUM($R$5:R25)</f>
        <v>2.5329374999999965</v>
      </c>
      <c r="T25" s="1"/>
      <c r="U25" s="1"/>
      <c r="V25" s="82">
        <v>20</v>
      </c>
      <c r="W25" s="74">
        <v>0.83333333333333304</v>
      </c>
      <c r="X25" s="78">
        <v>0.8</v>
      </c>
      <c r="Y25" s="103">
        <f t="shared" si="6"/>
        <v>5.64</v>
      </c>
      <c r="Z25" s="61">
        <f t="shared" si="7"/>
        <v>3.5</v>
      </c>
      <c r="AA25" s="93">
        <f t="shared" si="8"/>
        <v>-2.1399999999999997</v>
      </c>
      <c r="AB25" s="91">
        <f>SUM($AA$5:AA25)</f>
        <v>6.7012499999999955</v>
      </c>
      <c r="AC25" s="1"/>
      <c r="AD25" s="1"/>
      <c r="AE25" s="82">
        <v>20</v>
      </c>
      <c r="AF25" s="74">
        <v>0.83333333333333304</v>
      </c>
      <c r="AG25" s="78">
        <v>0.8</v>
      </c>
      <c r="AH25" s="99">
        <f t="shared" si="9"/>
        <v>6.0552000000000001</v>
      </c>
      <c r="AI25" s="61">
        <f t="shared" si="10"/>
        <v>3.7</v>
      </c>
      <c r="AJ25" s="93">
        <f t="shared" si="11"/>
        <v>-2.3552</v>
      </c>
      <c r="AK25" s="91">
        <f>SUM($AJ$5:AJ25)</f>
        <v>5.9837249999999997</v>
      </c>
      <c r="AL25" s="61">
        <f t="shared" si="12"/>
        <v>3.7</v>
      </c>
      <c r="AM25" s="176" t="s">
        <v>193</v>
      </c>
      <c r="AN25" s="177">
        <f>AN24/AI5</f>
        <v>0.96959459459459463</v>
      </c>
      <c r="AO25" s="1"/>
      <c r="AP25" s="1"/>
      <c r="AQ25" s="1"/>
      <c r="AR25" s="1"/>
      <c r="AS25" s="1"/>
      <c r="AT25" s="1"/>
    </row>
    <row r="26" spans="1:46" x14ac:dyDescent="0.25">
      <c r="A26" s="1"/>
      <c r="B26" s="1"/>
      <c r="C26" s="1"/>
      <c r="D26" s="82">
        <v>21</v>
      </c>
      <c r="E26" s="74">
        <v>0.875</v>
      </c>
      <c r="F26" s="78">
        <v>0.8</v>
      </c>
      <c r="G26" s="99">
        <f t="shared" ref="G26" si="32">F26*2.5</f>
        <v>2</v>
      </c>
      <c r="H26" s="61">
        <f t="shared" si="0"/>
        <v>1.23</v>
      </c>
      <c r="I26" s="93">
        <f t="shared" si="2"/>
        <v>-0.77</v>
      </c>
      <c r="J26" s="91">
        <f>SUM($I$5:I26)</f>
        <v>1.3725000000000058</v>
      </c>
      <c r="K26" s="1"/>
      <c r="L26" s="1"/>
      <c r="M26" s="82">
        <v>21</v>
      </c>
      <c r="N26" s="74">
        <v>0.875</v>
      </c>
      <c r="O26" s="78">
        <v>0.8</v>
      </c>
      <c r="P26" s="99">
        <f t="shared" si="3"/>
        <v>2.694</v>
      </c>
      <c r="Q26" s="61">
        <f t="shared" si="4"/>
        <v>1.64</v>
      </c>
      <c r="R26" s="93">
        <f t="shared" si="5"/>
        <v>-1.054</v>
      </c>
      <c r="S26" s="91">
        <f>SUM($R$5:R26)</f>
        <v>1.4789374999999965</v>
      </c>
      <c r="T26" s="1"/>
      <c r="U26" s="1"/>
      <c r="V26" s="82">
        <v>21</v>
      </c>
      <c r="W26" s="74">
        <v>0.875</v>
      </c>
      <c r="X26" s="78">
        <v>0.8</v>
      </c>
      <c r="Y26" s="103">
        <f t="shared" si="6"/>
        <v>5.64</v>
      </c>
      <c r="Z26" s="61">
        <f t="shared" si="7"/>
        <v>3.5</v>
      </c>
      <c r="AA26" s="93">
        <f t="shared" si="8"/>
        <v>-2.1399999999999997</v>
      </c>
      <c r="AB26" s="91">
        <f>SUM($AA$5:AA26)</f>
        <v>4.5612499999999958</v>
      </c>
      <c r="AC26" s="1"/>
      <c r="AD26" s="1"/>
      <c r="AE26" s="82">
        <v>21</v>
      </c>
      <c r="AF26" s="74">
        <v>0.875</v>
      </c>
      <c r="AG26" s="78">
        <v>0.8</v>
      </c>
      <c r="AH26" s="99">
        <f t="shared" si="9"/>
        <v>6.0552000000000001</v>
      </c>
      <c r="AI26" s="61">
        <f t="shared" si="10"/>
        <v>3.7</v>
      </c>
      <c r="AJ26" s="93">
        <f t="shared" si="11"/>
        <v>-2.3552</v>
      </c>
      <c r="AK26" s="91">
        <f>SUM($AJ$5:AJ26)</f>
        <v>3.6285249999999998</v>
      </c>
      <c r="AL26" s="61">
        <f t="shared" si="12"/>
        <v>3.7</v>
      </c>
      <c r="AM26" s="1"/>
      <c r="AN26" s="1"/>
      <c r="AO26" s="1"/>
      <c r="AP26" s="1"/>
      <c r="AQ26" s="1"/>
      <c r="AR26" s="1"/>
      <c r="AS26" s="1"/>
      <c r="AT26" s="1"/>
    </row>
    <row r="27" spans="1:46" x14ac:dyDescent="0.25">
      <c r="A27" s="1"/>
      <c r="B27" s="1"/>
      <c r="C27" s="1"/>
      <c r="D27" s="83">
        <v>22</v>
      </c>
      <c r="E27" s="75">
        <v>0.91666666666666696</v>
      </c>
      <c r="F27" s="79">
        <v>0.6</v>
      </c>
      <c r="G27" s="99">
        <f t="shared" ref="G27" si="33">F27*2.5</f>
        <v>1.5</v>
      </c>
      <c r="H27" s="61">
        <f t="shared" si="0"/>
        <v>1.23</v>
      </c>
      <c r="I27" s="93">
        <f t="shared" si="2"/>
        <v>-0.27</v>
      </c>
      <c r="J27" s="91">
        <f>SUM($I$5:I27)</f>
        <v>1.1025000000000058</v>
      </c>
      <c r="K27" s="1"/>
      <c r="L27" s="1"/>
      <c r="M27" s="83">
        <v>22</v>
      </c>
      <c r="N27" s="75">
        <v>0.91666666666666696</v>
      </c>
      <c r="O27" s="79">
        <v>0.6</v>
      </c>
      <c r="P27" s="99">
        <f t="shared" si="3"/>
        <v>2.0205000000000002</v>
      </c>
      <c r="Q27" s="61">
        <f t="shared" si="4"/>
        <v>1.64</v>
      </c>
      <c r="R27" s="93">
        <f t="shared" si="5"/>
        <v>-0.38050000000000028</v>
      </c>
      <c r="S27" s="91">
        <f>SUM($R$5:R27)</f>
        <v>1.0984374999999962</v>
      </c>
      <c r="T27" s="1"/>
      <c r="U27" s="1"/>
      <c r="V27" s="83">
        <v>22</v>
      </c>
      <c r="W27" s="75">
        <v>0.91666666666666696</v>
      </c>
      <c r="X27" s="79">
        <v>0.6</v>
      </c>
      <c r="Y27" s="103">
        <f t="shared" si="6"/>
        <v>4.2299999999999995</v>
      </c>
      <c r="Z27" s="61">
        <f t="shared" si="7"/>
        <v>3.5</v>
      </c>
      <c r="AA27" s="93">
        <f t="shared" si="8"/>
        <v>-0.72999999999999954</v>
      </c>
      <c r="AB27" s="91">
        <f>SUM($AA$5:AA27)</f>
        <v>3.8312499999999963</v>
      </c>
      <c r="AC27" s="1"/>
      <c r="AD27" s="1"/>
      <c r="AE27" s="83">
        <v>22</v>
      </c>
      <c r="AF27" s="75">
        <v>0.91666666666666696</v>
      </c>
      <c r="AG27" s="79">
        <v>0.6</v>
      </c>
      <c r="AH27" s="99">
        <f t="shared" si="9"/>
        <v>4.5414000000000003</v>
      </c>
      <c r="AI27" s="61">
        <f t="shared" si="10"/>
        <v>3.7</v>
      </c>
      <c r="AJ27" s="93">
        <f t="shared" si="11"/>
        <v>-0.84140000000000015</v>
      </c>
      <c r="AK27" s="91">
        <f>SUM($AJ$5:AJ27)</f>
        <v>2.7871249999999996</v>
      </c>
      <c r="AL27" s="61">
        <f t="shared" si="12"/>
        <v>3.7</v>
      </c>
      <c r="AM27" s="1"/>
      <c r="AN27" s="1"/>
      <c r="AO27" s="1"/>
      <c r="AP27" s="1"/>
      <c r="AQ27" s="1"/>
      <c r="AR27" s="1"/>
      <c r="AS27" s="1"/>
      <c r="AT27" s="1"/>
    </row>
    <row r="28" spans="1:46" ht="15.75" thickBot="1" x14ac:dyDescent="0.3">
      <c r="A28" s="1"/>
      <c r="B28" s="1"/>
      <c r="C28" s="1"/>
      <c r="D28" s="84">
        <v>23</v>
      </c>
      <c r="E28" s="76">
        <v>0.95833333333333304</v>
      </c>
      <c r="F28" s="80">
        <v>0.4</v>
      </c>
      <c r="G28" s="100">
        <f t="shared" ref="G28" si="34">F28*2.5</f>
        <v>1</v>
      </c>
      <c r="H28" s="62">
        <f t="shared" si="0"/>
        <v>1.23</v>
      </c>
      <c r="I28" s="93">
        <f t="shared" si="2"/>
        <v>0.22999999999999998</v>
      </c>
      <c r="J28" s="91">
        <f>SUM($I$5:I28)</f>
        <v>1.3325000000000058</v>
      </c>
      <c r="K28" s="1"/>
      <c r="L28" s="1"/>
      <c r="M28" s="84">
        <v>23</v>
      </c>
      <c r="N28" s="76">
        <v>0.95833333333333304</v>
      </c>
      <c r="O28" s="80">
        <v>0.4</v>
      </c>
      <c r="P28" s="100">
        <f t="shared" si="3"/>
        <v>1.347</v>
      </c>
      <c r="Q28" s="62">
        <f t="shared" si="4"/>
        <v>1.64</v>
      </c>
      <c r="R28" s="93">
        <f t="shared" si="5"/>
        <v>0.29299999999999993</v>
      </c>
      <c r="S28" s="91">
        <f>SUM($R$5:R28)</f>
        <v>1.3914374999999961</v>
      </c>
      <c r="T28" s="1"/>
      <c r="U28" s="1"/>
      <c r="V28" s="84">
        <v>23</v>
      </c>
      <c r="W28" s="76">
        <v>0.95833333333333304</v>
      </c>
      <c r="X28" s="80">
        <v>0.4</v>
      </c>
      <c r="Y28" s="105">
        <f t="shared" si="6"/>
        <v>2.82</v>
      </c>
      <c r="Z28" s="62">
        <f>$Z$2</f>
        <v>3.5</v>
      </c>
      <c r="AA28" s="93">
        <f t="shared" si="8"/>
        <v>0.68000000000000016</v>
      </c>
      <c r="AB28" s="91">
        <f>SUM($AA$5:AA28)</f>
        <v>4.5112499999999969</v>
      </c>
      <c r="AC28" s="1"/>
      <c r="AD28" s="1"/>
      <c r="AE28" s="84">
        <v>23</v>
      </c>
      <c r="AF28" s="76">
        <v>0.95833333333333304</v>
      </c>
      <c r="AG28" s="80">
        <v>0.4</v>
      </c>
      <c r="AH28" s="100">
        <f t="shared" si="9"/>
        <v>3.0276000000000001</v>
      </c>
      <c r="AI28" s="62">
        <f t="shared" si="10"/>
        <v>3.7</v>
      </c>
      <c r="AJ28" s="93">
        <f t="shared" si="11"/>
        <v>0.67240000000000011</v>
      </c>
      <c r="AK28" s="91">
        <f>SUM($AJ$5:AJ28)</f>
        <v>3.4595249999999997</v>
      </c>
      <c r="AL28" s="62">
        <f t="shared" si="12"/>
        <v>3.7</v>
      </c>
      <c r="AM28" s="1"/>
      <c r="AN28" s="1"/>
      <c r="AO28" s="1"/>
      <c r="AP28" s="1"/>
      <c r="AQ28" s="1"/>
      <c r="AR28" s="1"/>
      <c r="AS28" s="1"/>
      <c r="AT28" s="1"/>
    </row>
    <row r="29" spans="1:46" x14ac:dyDescent="0.25">
      <c r="A29" s="1"/>
      <c r="B29" s="1"/>
      <c r="C29" s="1"/>
      <c r="D29" s="1"/>
      <c r="E29" s="1"/>
      <c r="F29" s="1"/>
      <c r="G29" s="13"/>
      <c r="H29" s="1"/>
      <c r="I29" s="64" t="s">
        <v>106</v>
      </c>
      <c r="J29" s="96">
        <f>1-(1.23/2)</f>
        <v>0.38500000000000001</v>
      </c>
      <c r="K29" s="1"/>
      <c r="L29" s="1"/>
      <c r="M29" s="1"/>
      <c r="N29" s="1"/>
      <c r="O29" s="1"/>
      <c r="P29" s="1"/>
      <c r="Q29" s="1"/>
      <c r="R29" s="64" t="s">
        <v>106</v>
      </c>
      <c r="S29" s="69">
        <f>1-(Q5/MAX(P5:P28))</f>
        <v>0.39123979213066074</v>
      </c>
      <c r="T29" s="1"/>
      <c r="U29" s="1"/>
      <c r="V29" s="1"/>
      <c r="W29" s="1"/>
      <c r="X29" s="1"/>
      <c r="Y29" s="1"/>
      <c r="Z29" s="1"/>
      <c r="AA29" s="64" t="s">
        <v>106</v>
      </c>
      <c r="AB29" s="69">
        <f>1-(Z5/MAX(Y5:Y28))</f>
        <v>0.37943262411347511</v>
      </c>
      <c r="AC29" s="1"/>
      <c r="AD29" s="1"/>
      <c r="AE29" s="1"/>
      <c r="AF29" s="1"/>
      <c r="AG29" s="1"/>
      <c r="AH29" s="1"/>
      <c r="AI29" s="1"/>
      <c r="AJ29" s="64" t="s">
        <v>106</v>
      </c>
      <c r="AK29" s="69">
        <f>1-(AI5/MAX(AH5:AH28))</f>
        <v>0.38895494781344964</v>
      </c>
      <c r="AL29" s="1"/>
      <c r="AM29" s="1"/>
      <c r="AN29" s="1"/>
      <c r="AO29" s="1"/>
      <c r="AP29" s="1"/>
      <c r="AQ29" s="1"/>
      <c r="AR29" s="1"/>
      <c r="AS29" s="1"/>
      <c r="AT29" s="1"/>
    </row>
    <row r="30" spans="1:46" x14ac:dyDescent="0.25">
      <c r="A30" s="1"/>
      <c r="B30" s="1"/>
      <c r="C30" s="1"/>
      <c r="D30" s="1"/>
      <c r="E30" s="1"/>
      <c r="F30" s="1"/>
      <c r="G30" s="1"/>
      <c r="H30" s="1"/>
      <c r="I30" s="65" t="s">
        <v>109</v>
      </c>
      <c r="J30" s="94">
        <f>MAX(J5:J28)</f>
        <v>6.0275000000000016</v>
      </c>
      <c r="K30" s="1"/>
      <c r="L30" s="1"/>
      <c r="M30" s="1"/>
      <c r="N30" s="1"/>
      <c r="O30" s="1"/>
      <c r="P30" s="1"/>
      <c r="Q30" s="1"/>
      <c r="R30" s="65" t="s">
        <v>109</v>
      </c>
      <c r="S30" s="94">
        <f>MAX(S5:S28)</f>
        <v>7.9845625</v>
      </c>
      <c r="T30" s="1"/>
      <c r="U30" s="1"/>
      <c r="V30" s="1"/>
      <c r="W30" s="1"/>
      <c r="X30" s="1"/>
      <c r="Y30" s="1"/>
      <c r="Z30" s="1"/>
      <c r="AA30" s="65" t="s">
        <v>109</v>
      </c>
      <c r="AB30" s="97">
        <f>MAX(AB5:AB28)</f>
        <v>17.248749999999998</v>
      </c>
      <c r="AC30" s="1"/>
      <c r="AD30" s="1"/>
      <c r="AE30" s="1"/>
      <c r="AF30" s="1"/>
      <c r="AG30" s="1"/>
      <c r="AH30" s="1"/>
      <c r="AI30" s="1"/>
      <c r="AJ30" s="65" t="s">
        <v>109</v>
      </c>
      <c r="AK30" s="97">
        <f>MAX(AK5:AK28)</f>
        <v>18.057275000000001</v>
      </c>
      <c r="AL30" s="1"/>
      <c r="AM30" s="1"/>
      <c r="AN30" s="1"/>
      <c r="AO30" s="1"/>
      <c r="AP30" s="1"/>
      <c r="AQ30" s="1"/>
      <c r="AR30" s="1"/>
      <c r="AS30" s="1"/>
      <c r="AT30" s="1"/>
    </row>
    <row r="31" spans="1:46" x14ac:dyDescent="0.25">
      <c r="A31" s="1"/>
      <c r="B31" s="1"/>
      <c r="C31" s="1"/>
      <c r="D31" s="1"/>
      <c r="E31" s="1"/>
      <c r="F31" s="1"/>
      <c r="G31" s="1"/>
      <c r="H31" s="1"/>
      <c r="I31" s="65" t="s">
        <v>120</v>
      </c>
      <c r="J31" s="94">
        <f>MAX(I5:I28)</f>
        <v>0.98</v>
      </c>
      <c r="K31" s="1"/>
      <c r="L31" s="1"/>
      <c r="M31" s="1"/>
      <c r="N31" s="1"/>
      <c r="O31" s="1"/>
      <c r="P31" s="1"/>
      <c r="Q31" s="1"/>
      <c r="R31" s="65" t="s">
        <v>110</v>
      </c>
      <c r="S31" s="94">
        <f>MAX(R5:R28)</f>
        <v>1.3032499999999998</v>
      </c>
      <c r="T31" s="1"/>
      <c r="U31" s="1"/>
      <c r="V31" s="1"/>
      <c r="W31" s="1"/>
      <c r="X31" s="1"/>
      <c r="Y31" s="1"/>
      <c r="Z31" s="1"/>
      <c r="AA31" s="65" t="s">
        <v>110</v>
      </c>
      <c r="AB31" s="94">
        <f>MAX(AA5:AA28)</f>
        <v>2.7949999999999999</v>
      </c>
      <c r="AC31" s="1"/>
      <c r="AD31" s="1"/>
      <c r="AE31" s="1"/>
      <c r="AF31" s="1"/>
      <c r="AG31" s="1"/>
      <c r="AH31" s="1"/>
      <c r="AI31" s="1"/>
      <c r="AJ31" s="65" t="s">
        <v>110</v>
      </c>
      <c r="AK31" s="94">
        <f>MAX(AJ5:AJ28)</f>
        <v>2.9431000000000003</v>
      </c>
      <c r="AL31" s="1"/>
      <c r="AM31" s="1"/>
      <c r="AN31" s="1"/>
      <c r="AO31" s="1"/>
      <c r="AP31" s="1"/>
      <c r="AQ31" s="1"/>
      <c r="AR31" s="1"/>
      <c r="AS31" s="1"/>
      <c r="AT31" s="1"/>
    </row>
    <row r="32" spans="1:46" ht="15.75" thickBot="1" x14ac:dyDescent="0.3">
      <c r="A32" s="1"/>
      <c r="B32" s="1"/>
      <c r="C32" s="1"/>
      <c r="D32" s="1"/>
      <c r="E32" s="1"/>
      <c r="F32" s="1"/>
      <c r="G32" s="1"/>
      <c r="H32" s="1"/>
      <c r="I32" s="66" t="s">
        <v>111</v>
      </c>
      <c r="J32" s="95">
        <f>MIN(I5:I28)</f>
        <v>-0.77</v>
      </c>
      <c r="K32" s="1"/>
      <c r="L32" s="1"/>
      <c r="M32" s="1"/>
      <c r="N32" s="1"/>
      <c r="O32" s="1"/>
      <c r="P32" s="1"/>
      <c r="Q32" s="1"/>
      <c r="R32" s="66" t="s">
        <v>111</v>
      </c>
      <c r="S32" s="95">
        <f>MIN(R5:R28)</f>
        <v>-1.054</v>
      </c>
      <c r="T32" s="1"/>
      <c r="U32" s="1"/>
      <c r="V32" s="1"/>
      <c r="W32" s="1"/>
      <c r="X32" s="1"/>
      <c r="Y32" s="1"/>
      <c r="Z32" s="1"/>
      <c r="AA32" s="66" t="s">
        <v>111</v>
      </c>
      <c r="AB32" s="95">
        <f>MIN(AA5:AA28)</f>
        <v>-2.1399999999999997</v>
      </c>
      <c r="AC32" s="1"/>
      <c r="AD32" s="1"/>
      <c r="AE32" s="1"/>
      <c r="AF32" s="1"/>
      <c r="AG32" s="1"/>
      <c r="AH32" s="1"/>
      <c r="AI32" s="1"/>
      <c r="AJ32" s="66" t="s">
        <v>111</v>
      </c>
      <c r="AK32" s="95">
        <f>MIN(AJ5:AJ28)</f>
        <v>-2.3552</v>
      </c>
      <c r="AL32" s="1"/>
      <c r="AM32" s="1"/>
      <c r="AN32" s="1"/>
      <c r="AO32" s="1"/>
      <c r="AP32" s="1"/>
      <c r="AQ32" s="1"/>
      <c r="AR32" s="1"/>
      <c r="AS32" s="1"/>
      <c r="AT32" s="1"/>
    </row>
    <row r="33" spans="1:4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row>
    <row r="34" spans="1:4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5.75" thickBot="1" x14ac:dyDescent="0.3">
      <c r="A35" s="1"/>
      <c r="B35" s="1"/>
      <c r="C35" s="1"/>
      <c r="D35" s="1" t="s">
        <v>124</v>
      </c>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x14ac:dyDescent="0.25">
      <c r="A36" s="1"/>
      <c r="B36" s="1"/>
      <c r="C36" s="1"/>
      <c r="D36" s="1"/>
      <c r="E36" s="1"/>
      <c r="F36" s="1"/>
      <c r="G36" s="1"/>
      <c r="H36" s="1"/>
      <c r="I36" s="1"/>
      <c r="J36" s="1"/>
      <c r="K36" s="1"/>
      <c r="L36" s="1"/>
      <c r="M36" s="489" t="s">
        <v>118</v>
      </c>
      <c r="N36" s="491"/>
      <c r="O36" s="1"/>
      <c r="P36" s="484" t="s">
        <v>119</v>
      </c>
      <c r="Q36" s="485"/>
      <c r="R36" s="70" t="s">
        <v>113</v>
      </c>
      <c r="S36" s="101"/>
      <c r="T36" s="1"/>
      <c r="U36" s="1"/>
      <c r="V36" s="489" t="s">
        <v>118</v>
      </c>
      <c r="W36" s="490"/>
      <c r="X36" s="491"/>
      <c r="Y36" s="484" t="s">
        <v>119</v>
      </c>
      <c r="Z36" s="485"/>
      <c r="AA36" s="70" t="s">
        <v>113</v>
      </c>
      <c r="AB36" s="101" t="s">
        <v>122</v>
      </c>
      <c r="AC36" s="1"/>
      <c r="AD36" s="1"/>
      <c r="AE36" s="489" t="s">
        <v>118</v>
      </c>
      <c r="AF36" s="490"/>
      <c r="AG36" s="491"/>
      <c r="AH36" s="484" t="s">
        <v>119</v>
      </c>
      <c r="AI36" s="485"/>
      <c r="AJ36" s="70" t="s">
        <v>114</v>
      </c>
      <c r="AK36" s="101" t="s">
        <v>122</v>
      </c>
      <c r="AL36" s="1"/>
      <c r="AM36" s="1"/>
      <c r="AN36" s="1"/>
      <c r="AO36" s="1"/>
      <c r="AP36" s="1"/>
      <c r="AQ36" s="1"/>
      <c r="AR36" s="1"/>
      <c r="AS36" s="1"/>
      <c r="AT36" s="1"/>
    </row>
    <row r="37" spans="1:46" ht="15.75" thickBot="1" x14ac:dyDescent="0.3">
      <c r="A37" s="1"/>
      <c r="B37" s="1"/>
      <c r="C37" s="1"/>
      <c r="D37" s="1"/>
      <c r="E37" s="1"/>
      <c r="F37" s="1"/>
      <c r="G37" s="1"/>
      <c r="H37" s="1"/>
      <c r="I37" s="1"/>
      <c r="J37" s="1"/>
      <c r="K37" s="1"/>
      <c r="L37" s="1"/>
      <c r="M37" s="486" t="s">
        <v>108</v>
      </c>
      <c r="N37" s="488"/>
      <c r="O37" s="1"/>
      <c r="P37" s="88" t="s">
        <v>103</v>
      </c>
      <c r="Q37" s="72">
        <v>5.2</v>
      </c>
      <c r="R37" s="72" t="s">
        <v>104</v>
      </c>
      <c r="S37" s="67" t="s">
        <v>105</v>
      </c>
      <c r="T37" s="1"/>
      <c r="U37" s="1"/>
      <c r="V37" s="486" t="s">
        <v>112</v>
      </c>
      <c r="W37" s="487"/>
      <c r="X37" s="488"/>
      <c r="Y37" s="88" t="s">
        <v>103</v>
      </c>
      <c r="Z37" s="72">
        <v>3</v>
      </c>
      <c r="AA37" s="72" t="s">
        <v>104</v>
      </c>
      <c r="AB37" s="67" t="s">
        <v>105</v>
      </c>
      <c r="AC37" s="1"/>
      <c r="AD37" s="1"/>
      <c r="AE37" s="486" t="s">
        <v>117</v>
      </c>
      <c r="AF37" s="487"/>
      <c r="AG37" s="488"/>
      <c r="AH37" s="88" t="s">
        <v>103</v>
      </c>
      <c r="AI37" s="72">
        <v>3.7</v>
      </c>
      <c r="AJ37" s="72" t="s">
        <v>104</v>
      </c>
      <c r="AK37" s="67" t="s">
        <v>105</v>
      </c>
      <c r="AL37" s="1"/>
      <c r="AM37" s="1"/>
      <c r="AN37" s="1"/>
      <c r="AO37" s="1"/>
      <c r="AP37" s="1"/>
      <c r="AQ37" s="1"/>
      <c r="AR37" s="1"/>
      <c r="AS37" s="1"/>
      <c r="AT37" s="1"/>
    </row>
    <row r="38" spans="1:46" x14ac:dyDescent="0.25">
      <c r="A38" s="1"/>
      <c r="B38" s="1"/>
      <c r="C38" s="1"/>
      <c r="D38" s="1"/>
      <c r="E38" s="1"/>
      <c r="F38" s="1"/>
      <c r="G38" s="1"/>
      <c r="H38" s="1"/>
      <c r="I38" s="1"/>
      <c r="J38" s="1"/>
      <c r="K38" s="1"/>
      <c r="L38" s="1"/>
      <c r="M38" s="1">
        <v>4.2069999999999999</v>
      </c>
      <c r="N38" s="1"/>
      <c r="O38" s="1"/>
      <c r="P38" s="1"/>
      <c r="Q38" s="1"/>
      <c r="R38" s="1"/>
      <c r="S38" s="1"/>
      <c r="T38" s="1"/>
      <c r="U38" s="1"/>
      <c r="V38" s="1">
        <v>2.82</v>
      </c>
      <c r="W38" s="1"/>
      <c r="X38" s="1"/>
      <c r="Y38" s="1"/>
      <c r="Z38" s="1"/>
      <c r="AA38" s="1"/>
      <c r="AB38" s="1"/>
      <c r="AC38" s="1"/>
      <c r="AD38" s="1"/>
      <c r="AE38" s="1">
        <v>3.0276000000000001</v>
      </c>
      <c r="AF38" s="1"/>
      <c r="AG38" s="1"/>
      <c r="AH38" s="1"/>
      <c r="AI38" s="1"/>
      <c r="AJ38" s="1"/>
      <c r="AK38" s="1"/>
      <c r="AL38" s="1"/>
      <c r="AM38" s="1"/>
      <c r="AN38" s="1"/>
      <c r="AO38" s="1"/>
      <c r="AP38" s="1"/>
      <c r="AQ38" s="1"/>
      <c r="AR38" s="1"/>
      <c r="AS38" s="1"/>
      <c r="AT38" s="1"/>
    </row>
    <row r="39" spans="1:46" x14ac:dyDescent="0.25">
      <c r="A39" s="1"/>
      <c r="B39" s="1"/>
      <c r="C39" s="1"/>
      <c r="D39" s="1"/>
      <c r="E39" s="1"/>
      <c r="F39" s="1"/>
      <c r="G39" s="1"/>
      <c r="H39" s="1"/>
      <c r="I39" s="1"/>
      <c r="J39" s="1"/>
      <c r="K39" s="1"/>
      <c r="L39" s="1"/>
      <c r="M39" s="85" t="s">
        <v>99</v>
      </c>
      <c r="N39" s="85" t="s">
        <v>100</v>
      </c>
      <c r="O39" s="85" t="s">
        <v>102</v>
      </c>
      <c r="P39" s="85" t="s">
        <v>8</v>
      </c>
      <c r="Q39" s="85" t="s">
        <v>101</v>
      </c>
      <c r="R39" s="85" t="s">
        <v>115</v>
      </c>
      <c r="S39" s="85" t="s">
        <v>116</v>
      </c>
      <c r="T39" s="1"/>
      <c r="U39" s="1"/>
      <c r="V39" s="85" t="s">
        <v>99</v>
      </c>
      <c r="W39" s="85" t="s">
        <v>100</v>
      </c>
      <c r="X39" s="85" t="s">
        <v>102</v>
      </c>
      <c r="Y39" s="85" t="s">
        <v>8</v>
      </c>
      <c r="Z39" s="85" t="s">
        <v>101</v>
      </c>
      <c r="AA39" s="85" t="s">
        <v>115</v>
      </c>
      <c r="AB39" s="85" t="s">
        <v>116</v>
      </c>
      <c r="AC39" s="1"/>
      <c r="AD39" s="1"/>
      <c r="AE39" s="85" t="s">
        <v>99</v>
      </c>
      <c r="AF39" s="85" t="s">
        <v>100</v>
      </c>
      <c r="AG39" s="85" t="s">
        <v>102</v>
      </c>
      <c r="AH39" s="85" t="s">
        <v>8</v>
      </c>
      <c r="AI39" s="85" t="s">
        <v>101</v>
      </c>
      <c r="AJ39" s="85" t="s">
        <v>115</v>
      </c>
      <c r="AK39" s="85" t="s">
        <v>116</v>
      </c>
      <c r="AL39" s="1"/>
      <c r="AM39" s="1"/>
      <c r="AN39" s="1"/>
      <c r="AO39" s="1"/>
      <c r="AP39" s="1"/>
      <c r="AQ39" s="1"/>
      <c r="AR39" s="1"/>
      <c r="AS39" s="1"/>
      <c r="AT39" s="1"/>
    </row>
    <row r="40" spans="1:46" x14ac:dyDescent="0.25">
      <c r="A40" s="1"/>
      <c r="B40" s="1"/>
      <c r="C40" s="1"/>
      <c r="D40" s="1"/>
      <c r="E40" s="1"/>
      <c r="F40" s="1"/>
      <c r="G40" s="1"/>
      <c r="H40" s="1"/>
      <c r="I40" s="1"/>
      <c r="J40" s="1"/>
      <c r="K40" s="1"/>
      <c r="L40" s="1"/>
      <c r="M40" s="81">
        <v>0</v>
      </c>
      <c r="N40" s="73">
        <v>0</v>
      </c>
      <c r="O40" s="77">
        <v>0.1</v>
      </c>
      <c r="P40" s="98">
        <f>O40*2.5*$M$38</f>
        <v>1.05175</v>
      </c>
      <c r="Q40" s="60">
        <f>$Q$37</f>
        <v>5.2</v>
      </c>
      <c r="R40" s="92">
        <f>Q40-P40</f>
        <v>4.14825</v>
      </c>
      <c r="S40" s="90">
        <f>R40</f>
        <v>4.14825</v>
      </c>
      <c r="T40" s="1"/>
      <c r="U40" s="1"/>
      <c r="V40" s="81">
        <v>0</v>
      </c>
      <c r="W40" s="73">
        <v>0</v>
      </c>
      <c r="X40" s="77">
        <v>0.1</v>
      </c>
      <c r="Y40" s="98">
        <f>X40*2.5*$V$3</f>
        <v>0.70499999999999996</v>
      </c>
      <c r="Z40" s="60">
        <f>$Z$37</f>
        <v>3</v>
      </c>
      <c r="AA40" s="92">
        <f>Z40-Y40</f>
        <v>2.2949999999999999</v>
      </c>
      <c r="AB40" s="90">
        <f>AA40</f>
        <v>2.2949999999999999</v>
      </c>
      <c r="AC40" s="1"/>
      <c r="AD40" s="1"/>
      <c r="AE40" s="81">
        <v>0</v>
      </c>
      <c r="AF40" s="73">
        <v>0</v>
      </c>
      <c r="AG40" s="77">
        <v>0.1</v>
      </c>
      <c r="AH40" s="98">
        <f>AG40*2.5*$AE$3</f>
        <v>0.75690000000000002</v>
      </c>
      <c r="AI40" s="60">
        <f>$AI$2</f>
        <v>3.7</v>
      </c>
      <c r="AJ40" s="92">
        <f>AI40-AH40</f>
        <v>2.9431000000000003</v>
      </c>
      <c r="AK40" s="90">
        <f>AJ40</f>
        <v>2.9431000000000003</v>
      </c>
      <c r="AL40" s="1"/>
      <c r="AM40" s="1"/>
      <c r="AN40" s="1"/>
      <c r="AO40" s="1"/>
      <c r="AP40" s="1"/>
      <c r="AQ40" s="1"/>
      <c r="AR40" s="1"/>
      <c r="AS40" s="1"/>
      <c r="AT40" s="1"/>
    </row>
    <row r="41" spans="1:46" x14ac:dyDescent="0.25">
      <c r="A41" s="1"/>
      <c r="B41" s="1"/>
      <c r="C41" s="1"/>
      <c r="D41" s="1"/>
      <c r="E41" s="1"/>
      <c r="F41" s="1"/>
      <c r="G41" s="1"/>
      <c r="H41" s="1"/>
      <c r="I41" s="1"/>
      <c r="J41" s="1"/>
      <c r="K41" s="1"/>
      <c r="L41" s="1"/>
      <c r="M41" s="82">
        <v>1</v>
      </c>
      <c r="N41" s="74">
        <v>4.1666666666666699E-2</v>
      </c>
      <c r="O41" s="78">
        <v>0.2</v>
      </c>
      <c r="P41" s="99">
        <f t="shared" ref="P41:P63" si="35">O41*2.5*$M$38</f>
        <v>2.1034999999999999</v>
      </c>
      <c r="Q41" s="61">
        <f t="shared" ref="Q41:Q63" si="36">$Q$37</f>
        <v>5.2</v>
      </c>
      <c r="R41" s="93">
        <f t="shared" ref="R41:R63" si="37">Q41-P41</f>
        <v>3.0965000000000003</v>
      </c>
      <c r="S41" s="91">
        <f>SUM($R$5:R41)</f>
        <v>8.6361874999999966</v>
      </c>
      <c r="T41" s="1"/>
      <c r="U41" s="1"/>
      <c r="V41" s="82">
        <v>1</v>
      </c>
      <c r="W41" s="74">
        <v>4.1666666666666699E-2</v>
      </c>
      <c r="X41" s="78">
        <v>0.2</v>
      </c>
      <c r="Y41" s="99">
        <f t="shared" ref="Y41:Y63" si="38">X41*2.5*$V$3</f>
        <v>1.41</v>
      </c>
      <c r="Z41" s="61">
        <f t="shared" ref="Z41:Z47" si="39">$Z$37</f>
        <v>3</v>
      </c>
      <c r="AA41" s="93">
        <f t="shared" ref="AA41:AA63" si="40">Z41-Y41</f>
        <v>1.59</v>
      </c>
      <c r="AB41" s="91">
        <f>SUM($AA$40:AA41)</f>
        <v>3.8849999999999998</v>
      </c>
      <c r="AC41" s="1"/>
      <c r="AD41" s="1"/>
      <c r="AE41" s="82">
        <v>1</v>
      </c>
      <c r="AF41" s="74">
        <v>4.1666666666666699E-2</v>
      </c>
      <c r="AG41" s="78">
        <v>0.2</v>
      </c>
      <c r="AH41" s="99">
        <f t="shared" ref="AH41:AH57" si="41">AG41*2.5*$AE$3</f>
        <v>1.5138</v>
      </c>
      <c r="AI41" s="61">
        <f t="shared" ref="AI41:AI63" si="42">$AI$2</f>
        <v>3.7</v>
      </c>
      <c r="AJ41" s="93">
        <f t="shared" ref="AJ41:AJ63" si="43">AI41-AH41</f>
        <v>2.1862000000000004</v>
      </c>
      <c r="AK41" s="91">
        <f>SUM($AJ$40:AJ41)</f>
        <v>5.1293000000000006</v>
      </c>
      <c r="AL41" s="1"/>
      <c r="AM41" s="1"/>
      <c r="AN41" s="1"/>
      <c r="AO41" s="1"/>
      <c r="AP41" s="1"/>
      <c r="AQ41" s="1"/>
      <c r="AR41" s="1"/>
      <c r="AS41" s="1"/>
      <c r="AT41" s="1"/>
    </row>
    <row r="42" spans="1:46" x14ac:dyDescent="0.25">
      <c r="A42" s="1"/>
      <c r="B42" s="1"/>
      <c r="C42" s="1"/>
      <c r="D42" s="1"/>
      <c r="E42" s="1"/>
      <c r="F42" s="1"/>
      <c r="G42" s="1"/>
      <c r="H42" s="1"/>
      <c r="I42" s="1"/>
      <c r="J42" s="1"/>
      <c r="K42" s="1"/>
      <c r="L42" s="1"/>
      <c r="M42" s="82">
        <v>2</v>
      </c>
      <c r="N42" s="74">
        <v>8.3333333333333301E-2</v>
      </c>
      <c r="O42" s="78">
        <v>0.15</v>
      </c>
      <c r="P42" s="99">
        <f t="shared" si="35"/>
        <v>1.5776249999999998</v>
      </c>
      <c r="Q42" s="61">
        <f t="shared" si="36"/>
        <v>5.2</v>
      </c>
      <c r="R42" s="93">
        <f t="shared" si="37"/>
        <v>3.6223750000000003</v>
      </c>
      <c r="S42" s="91">
        <f>SUM($R$5:R42)</f>
        <v>12.258562499999996</v>
      </c>
      <c r="T42" s="1"/>
      <c r="U42" s="1"/>
      <c r="V42" s="82">
        <v>2</v>
      </c>
      <c r="W42" s="74">
        <v>8.3333333333333301E-2</v>
      </c>
      <c r="X42" s="78">
        <v>0.15</v>
      </c>
      <c r="Y42" s="99">
        <f t="shared" si="38"/>
        <v>1.0574999999999999</v>
      </c>
      <c r="Z42" s="61">
        <f t="shared" si="39"/>
        <v>3</v>
      </c>
      <c r="AA42" s="93">
        <f t="shared" si="40"/>
        <v>1.9425000000000001</v>
      </c>
      <c r="AB42" s="91">
        <f>SUM($AA$40:AA42)</f>
        <v>5.8274999999999997</v>
      </c>
      <c r="AC42" s="1"/>
      <c r="AD42" s="1"/>
      <c r="AE42" s="82">
        <v>2</v>
      </c>
      <c r="AF42" s="74">
        <v>8.3333333333333301E-2</v>
      </c>
      <c r="AG42" s="78">
        <v>0.15</v>
      </c>
      <c r="AH42" s="99">
        <f t="shared" si="41"/>
        <v>1.1353500000000001</v>
      </c>
      <c r="AI42" s="61">
        <f t="shared" si="42"/>
        <v>3.7</v>
      </c>
      <c r="AJ42" s="93">
        <f t="shared" si="43"/>
        <v>2.5646500000000003</v>
      </c>
      <c r="AK42" s="91">
        <f>SUM($AJ$40:AJ42)</f>
        <v>7.693950000000001</v>
      </c>
      <c r="AL42" s="1"/>
      <c r="AM42" s="1"/>
      <c r="AN42" s="1"/>
      <c r="AO42" s="1"/>
      <c r="AP42" s="1"/>
      <c r="AQ42" s="1"/>
      <c r="AR42" s="1"/>
      <c r="AS42" s="1"/>
      <c r="AT42" s="1"/>
    </row>
    <row r="43" spans="1:46" x14ac:dyDescent="0.25">
      <c r="A43" s="1"/>
      <c r="B43" s="1"/>
      <c r="C43" s="1"/>
      <c r="D43" s="1"/>
      <c r="E43" s="1"/>
      <c r="F43" s="1"/>
      <c r="G43" s="1"/>
      <c r="H43" s="1"/>
      <c r="I43" s="1"/>
      <c r="J43" s="1"/>
      <c r="K43" s="1"/>
      <c r="L43" s="1"/>
      <c r="M43" s="82">
        <v>3</v>
      </c>
      <c r="N43" s="74">
        <v>0.125</v>
      </c>
      <c r="O43" s="78">
        <v>0.15</v>
      </c>
      <c r="P43" s="99">
        <f t="shared" si="35"/>
        <v>1.5776249999999998</v>
      </c>
      <c r="Q43" s="61">
        <f t="shared" si="36"/>
        <v>5.2</v>
      </c>
      <c r="R43" s="93">
        <f t="shared" si="37"/>
        <v>3.6223750000000003</v>
      </c>
      <c r="S43" s="91">
        <f>SUM($R$5:R43)</f>
        <v>15.880937499999996</v>
      </c>
      <c r="T43" s="1"/>
      <c r="U43" s="1"/>
      <c r="V43" s="82">
        <v>3</v>
      </c>
      <c r="W43" s="74">
        <v>0.125</v>
      </c>
      <c r="X43" s="78">
        <v>0.15</v>
      </c>
      <c r="Y43" s="99">
        <f t="shared" si="38"/>
        <v>1.0574999999999999</v>
      </c>
      <c r="Z43" s="61">
        <f t="shared" si="39"/>
        <v>3</v>
      </c>
      <c r="AA43" s="93">
        <f t="shared" si="40"/>
        <v>1.9425000000000001</v>
      </c>
      <c r="AB43" s="91">
        <f>SUM($AA$40:AA43)</f>
        <v>7.77</v>
      </c>
      <c r="AC43" s="1"/>
      <c r="AD43" s="1"/>
      <c r="AE43" s="82">
        <v>3</v>
      </c>
      <c r="AF43" s="74">
        <v>0.125</v>
      </c>
      <c r="AG43" s="78">
        <v>0.15</v>
      </c>
      <c r="AH43" s="99">
        <f t="shared" si="41"/>
        <v>1.1353500000000001</v>
      </c>
      <c r="AI43" s="61">
        <f t="shared" si="42"/>
        <v>3.7</v>
      </c>
      <c r="AJ43" s="93">
        <f t="shared" si="43"/>
        <v>2.5646500000000003</v>
      </c>
      <c r="AK43" s="91">
        <f>SUM($AJ$40:AJ43)</f>
        <v>10.258600000000001</v>
      </c>
      <c r="AL43" s="1"/>
      <c r="AM43" s="1"/>
      <c r="AN43" s="1"/>
      <c r="AO43" s="1"/>
      <c r="AP43" s="1"/>
      <c r="AQ43" s="1"/>
      <c r="AR43" s="1"/>
      <c r="AS43" s="1"/>
      <c r="AT43" s="1"/>
    </row>
    <row r="44" spans="1:46" x14ac:dyDescent="0.25">
      <c r="A44" s="1"/>
      <c r="B44" s="1"/>
      <c r="C44" s="1"/>
      <c r="D44" s="1"/>
      <c r="E44" s="1"/>
      <c r="F44" s="1"/>
      <c r="G44" s="1"/>
      <c r="H44" s="1"/>
      <c r="I44" s="1"/>
      <c r="J44" s="1"/>
      <c r="K44" s="1"/>
      <c r="L44" s="1"/>
      <c r="M44" s="82">
        <v>4</v>
      </c>
      <c r="N44" s="74">
        <v>0.16666666666666699</v>
      </c>
      <c r="O44" s="78">
        <v>0.15</v>
      </c>
      <c r="P44" s="99">
        <f t="shared" si="35"/>
        <v>1.5776249999999998</v>
      </c>
      <c r="Q44" s="61">
        <f t="shared" si="36"/>
        <v>5.2</v>
      </c>
      <c r="R44" s="93">
        <f t="shared" si="37"/>
        <v>3.6223750000000003</v>
      </c>
      <c r="S44" s="91">
        <f>SUM($R$5:R44)</f>
        <v>19.503312499999996</v>
      </c>
      <c r="T44" s="1"/>
      <c r="U44" s="1"/>
      <c r="V44" s="82">
        <v>4</v>
      </c>
      <c r="W44" s="74">
        <v>0.16666666666666699</v>
      </c>
      <c r="X44" s="78">
        <v>0.15</v>
      </c>
      <c r="Y44" s="99">
        <f t="shared" si="38"/>
        <v>1.0574999999999999</v>
      </c>
      <c r="Z44" s="61">
        <f t="shared" si="39"/>
        <v>3</v>
      </c>
      <c r="AA44" s="93">
        <f t="shared" si="40"/>
        <v>1.9425000000000001</v>
      </c>
      <c r="AB44" s="91">
        <f>SUM($AA$40:AA44)</f>
        <v>9.7125000000000004</v>
      </c>
      <c r="AC44" s="1"/>
      <c r="AD44" s="1"/>
      <c r="AE44" s="82">
        <v>4</v>
      </c>
      <c r="AF44" s="74">
        <v>0.16666666666666699</v>
      </c>
      <c r="AG44" s="78">
        <v>0.15</v>
      </c>
      <c r="AH44" s="99">
        <f t="shared" si="41"/>
        <v>1.1353500000000001</v>
      </c>
      <c r="AI44" s="61">
        <f t="shared" si="42"/>
        <v>3.7</v>
      </c>
      <c r="AJ44" s="93">
        <f t="shared" si="43"/>
        <v>2.5646500000000003</v>
      </c>
      <c r="AK44" s="91">
        <f>SUM($AJ$40:AJ44)</f>
        <v>12.823250000000002</v>
      </c>
      <c r="AL44" s="1"/>
      <c r="AM44" s="1"/>
      <c r="AN44" s="1"/>
      <c r="AO44" s="1"/>
      <c r="AP44" s="1"/>
      <c r="AQ44" s="1"/>
      <c r="AR44" s="1"/>
      <c r="AS44" s="1"/>
      <c r="AT44" s="1"/>
    </row>
    <row r="45" spans="1:46" x14ac:dyDescent="0.25">
      <c r="A45" s="1"/>
      <c r="B45" s="1"/>
      <c r="C45" s="1"/>
      <c r="D45" s="1"/>
      <c r="E45" s="1"/>
      <c r="F45" s="1"/>
      <c r="G45" s="1"/>
      <c r="H45" s="1"/>
      <c r="I45" s="1"/>
      <c r="J45" s="1"/>
      <c r="K45" s="1"/>
      <c r="L45" s="1"/>
      <c r="M45" s="82">
        <v>5</v>
      </c>
      <c r="N45" s="74">
        <v>0.20833333333333301</v>
      </c>
      <c r="O45" s="78">
        <v>0.17499999999999999</v>
      </c>
      <c r="P45" s="99">
        <f t="shared" si="35"/>
        <v>1.8405624999999999</v>
      </c>
      <c r="Q45" s="61">
        <f t="shared" si="36"/>
        <v>5.2</v>
      </c>
      <c r="R45" s="93">
        <f t="shared" si="37"/>
        <v>3.3594375000000003</v>
      </c>
      <c r="S45" s="91">
        <f>SUM($R$5:R45)</f>
        <v>22.862749999999998</v>
      </c>
      <c r="T45" s="1"/>
      <c r="U45" s="1"/>
      <c r="V45" s="82">
        <v>5</v>
      </c>
      <c r="W45" s="74">
        <v>0.20833333333333301</v>
      </c>
      <c r="X45" s="78">
        <v>0.17499999999999999</v>
      </c>
      <c r="Y45" s="99">
        <f t="shared" si="38"/>
        <v>1.2337499999999999</v>
      </c>
      <c r="Z45" s="61">
        <f t="shared" si="39"/>
        <v>3</v>
      </c>
      <c r="AA45" s="93">
        <f t="shared" si="40"/>
        <v>1.7662500000000001</v>
      </c>
      <c r="AB45" s="91">
        <f>SUM($AA$40:AA45)</f>
        <v>11.47875</v>
      </c>
      <c r="AC45" s="1"/>
      <c r="AD45" s="1"/>
      <c r="AE45" s="82">
        <v>5</v>
      </c>
      <c r="AF45" s="74">
        <v>0.20833333333333301</v>
      </c>
      <c r="AG45" s="78">
        <v>0.17499999999999999</v>
      </c>
      <c r="AH45" s="99">
        <f t="shared" si="41"/>
        <v>1.3245750000000001</v>
      </c>
      <c r="AI45" s="61">
        <f t="shared" si="42"/>
        <v>3.7</v>
      </c>
      <c r="AJ45" s="93">
        <f t="shared" si="43"/>
        <v>2.3754249999999999</v>
      </c>
      <c r="AK45" s="91">
        <f>SUM($AJ$40:AJ45)</f>
        <v>15.198675000000001</v>
      </c>
      <c r="AL45" s="1"/>
      <c r="AM45" s="1"/>
      <c r="AN45" s="1"/>
      <c r="AO45" s="1"/>
      <c r="AP45" s="1"/>
      <c r="AQ45" s="1"/>
      <c r="AR45" s="1"/>
      <c r="AS45" s="1"/>
      <c r="AT45" s="1"/>
    </row>
    <row r="46" spans="1:46" x14ac:dyDescent="0.25">
      <c r="A46" s="1"/>
      <c r="B46" s="1"/>
      <c r="C46" s="1"/>
      <c r="D46" s="1"/>
      <c r="E46" s="1"/>
      <c r="F46" s="1"/>
      <c r="G46" s="1"/>
      <c r="H46" s="1"/>
      <c r="I46" s="1"/>
      <c r="J46" s="1"/>
      <c r="K46" s="1"/>
      <c r="L46" s="1"/>
      <c r="M46" s="82">
        <v>6</v>
      </c>
      <c r="N46" s="74">
        <v>0.25</v>
      </c>
      <c r="O46" s="78">
        <v>0.2</v>
      </c>
      <c r="P46" s="99">
        <f t="shared" si="35"/>
        <v>2.1034999999999999</v>
      </c>
      <c r="Q46" s="61">
        <f t="shared" si="36"/>
        <v>5.2</v>
      </c>
      <c r="R46" s="93">
        <f t="shared" si="37"/>
        <v>3.0965000000000003</v>
      </c>
      <c r="S46" s="91">
        <f>SUM($R$5:R46)</f>
        <v>25.959249999999997</v>
      </c>
      <c r="T46" s="1"/>
      <c r="U46" s="1"/>
      <c r="V46" s="82">
        <v>6</v>
      </c>
      <c r="W46" s="74">
        <v>0.25</v>
      </c>
      <c r="X46" s="78">
        <v>0.2</v>
      </c>
      <c r="Y46" s="99">
        <f t="shared" si="38"/>
        <v>1.41</v>
      </c>
      <c r="Z46" s="61">
        <f t="shared" si="39"/>
        <v>3</v>
      </c>
      <c r="AA46" s="93">
        <f t="shared" si="40"/>
        <v>1.59</v>
      </c>
      <c r="AB46" s="91">
        <f>SUM($AA$40:AA46)</f>
        <v>13.06875</v>
      </c>
      <c r="AC46" s="1"/>
      <c r="AD46" s="1"/>
      <c r="AE46" s="82">
        <v>6</v>
      </c>
      <c r="AF46" s="74">
        <v>0.25</v>
      </c>
      <c r="AG46" s="78">
        <v>0.2</v>
      </c>
      <c r="AH46" s="99">
        <f t="shared" si="41"/>
        <v>1.5138</v>
      </c>
      <c r="AI46" s="61">
        <f t="shared" si="42"/>
        <v>3.7</v>
      </c>
      <c r="AJ46" s="93">
        <f t="shared" si="43"/>
        <v>2.1862000000000004</v>
      </c>
      <c r="AK46" s="91">
        <f>SUM($AJ$40:AJ46)</f>
        <v>17.384875000000001</v>
      </c>
      <c r="AL46" s="1"/>
      <c r="AM46" s="1"/>
      <c r="AN46" s="1"/>
      <c r="AO46" s="1"/>
      <c r="AP46" s="1"/>
      <c r="AQ46" s="1"/>
      <c r="AR46" s="1"/>
      <c r="AS46" s="1"/>
      <c r="AT46" s="1"/>
    </row>
    <row r="47" spans="1:46" x14ac:dyDescent="0.25">
      <c r="A47" s="1"/>
      <c r="B47" s="1"/>
      <c r="C47" s="1"/>
      <c r="D47" s="1"/>
      <c r="E47" s="1"/>
      <c r="F47" s="1"/>
      <c r="G47" s="1"/>
      <c r="H47" s="1"/>
      <c r="I47" s="1"/>
      <c r="J47" s="1"/>
      <c r="K47" s="1"/>
      <c r="L47" s="1"/>
      <c r="M47" s="82">
        <v>7</v>
      </c>
      <c r="N47" s="74">
        <v>0.29166666666666702</v>
      </c>
      <c r="O47" s="78">
        <v>0.4</v>
      </c>
      <c r="P47" s="99">
        <f t="shared" si="35"/>
        <v>4.2069999999999999</v>
      </c>
      <c r="Q47" s="61">
        <f t="shared" si="36"/>
        <v>5.2</v>
      </c>
      <c r="R47" s="93">
        <f t="shared" si="37"/>
        <v>0.99300000000000033</v>
      </c>
      <c r="S47" s="91">
        <f>SUM($R$5:R47)</f>
        <v>26.952249999999999</v>
      </c>
      <c r="T47" s="1"/>
      <c r="U47" s="1"/>
      <c r="V47" s="82">
        <v>7</v>
      </c>
      <c r="W47" s="74">
        <v>0.29166666666666702</v>
      </c>
      <c r="X47" s="78">
        <v>0.4</v>
      </c>
      <c r="Y47" s="99">
        <f t="shared" si="38"/>
        <v>2.82</v>
      </c>
      <c r="Z47" s="61">
        <f t="shared" si="39"/>
        <v>3</v>
      </c>
      <c r="AA47" s="93">
        <f t="shared" si="40"/>
        <v>0.18000000000000016</v>
      </c>
      <c r="AB47" s="91">
        <f>SUM($AA$40:AA47)</f>
        <v>13.248749999999999</v>
      </c>
      <c r="AC47" s="1"/>
      <c r="AD47" s="1"/>
      <c r="AE47" s="82">
        <v>7</v>
      </c>
      <c r="AF47" s="74">
        <v>0.29166666666666702</v>
      </c>
      <c r="AG47" s="78">
        <v>0.4</v>
      </c>
      <c r="AH47" s="99">
        <f t="shared" si="41"/>
        <v>3.0276000000000001</v>
      </c>
      <c r="AI47" s="61">
        <f t="shared" si="42"/>
        <v>3.7</v>
      </c>
      <c r="AJ47" s="93">
        <f t="shared" si="43"/>
        <v>0.67240000000000011</v>
      </c>
      <c r="AK47" s="91">
        <f>SUM($AJ$40:AJ47)</f>
        <v>18.057275000000001</v>
      </c>
      <c r="AL47" s="1"/>
      <c r="AM47" s="1"/>
      <c r="AN47" s="1"/>
      <c r="AO47" s="1"/>
      <c r="AP47" s="1"/>
      <c r="AQ47" s="1"/>
      <c r="AR47" s="1"/>
      <c r="AS47" s="1"/>
      <c r="AT47" s="1"/>
    </row>
    <row r="48" spans="1:46" x14ac:dyDescent="0.25">
      <c r="A48" s="1"/>
      <c r="B48" s="1"/>
      <c r="C48" s="1"/>
      <c r="D48" s="1"/>
      <c r="E48" s="1"/>
      <c r="F48" s="1"/>
      <c r="G48" s="1"/>
      <c r="H48" s="1"/>
      <c r="I48" s="1"/>
      <c r="J48" s="1"/>
      <c r="K48" s="1"/>
      <c r="L48" s="1"/>
      <c r="M48" s="82">
        <v>8</v>
      </c>
      <c r="N48" s="74">
        <v>0.33333333333333298</v>
      </c>
      <c r="O48" s="78">
        <v>0.6</v>
      </c>
      <c r="P48" s="99">
        <f t="shared" si="35"/>
        <v>6.3104999999999993</v>
      </c>
      <c r="Q48" s="61">
        <f t="shared" si="36"/>
        <v>5.2</v>
      </c>
      <c r="R48" s="93">
        <f t="shared" si="37"/>
        <v>-1.1104999999999992</v>
      </c>
      <c r="S48" s="91">
        <f>SUM($R$5:R48)</f>
        <v>25.841750000000001</v>
      </c>
      <c r="T48" s="1"/>
      <c r="U48" s="1"/>
      <c r="V48" s="82">
        <v>8</v>
      </c>
      <c r="W48" s="102">
        <v>0.33333333333333298</v>
      </c>
      <c r="X48" s="78">
        <v>0.6</v>
      </c>
      <c r="Y48" s="99">
        <f t="shared" si="38"/>
        <v>4.2299999999999995</v>
      </c>
      <c r="Z48" s="103">
        <f>Y48</f>
        <v>4.2299999999999995</v>
      </c>
      <c r="AA48" s="93">
        <v>0</v>
      </c>
      <c r="AB48" s="91" t="s">
        <v>123</v>
      </c>
      <c r="AC48" s="1"/>
      <c r="AD48" s="1"/>
      <c r="AE48" s="82">
        <v>8</v>
      </c>
      <c r="AF48" s="74">
        <v>0.33333333333333298</v>
      </c>
      <c r="AG48" s="78">
        <v>0.6</v>
      </c>
      <c r="AH48" s="99">
        <f t="shared" si="41"/>
        <v>4.5414000000000003</v>
      </c>
      <c r="AI48" s="61">
        <f t="shared" si="42"/>
        <v>3.7</v>
      </c>
      <c r="AJ48" s="93">
        <f t="shared" si="43"/>
        <v>-0.84140000000000015</v>
      </c>
      <c r="AK48" s="91">
        <f>SUM($AJ$40:AJ48)</f>
        <v>17.215875</v>
      </c>
      <c r="AL48" s="1"/>
      <c r="AM48" s="1"/>
      <c r="AN48" s="1"/>
      <c r="AO48" s="1"/>
      <c r="AP48" s="1"/>
      <c r="AQ48" s="1"/>
      <c r="AR48" s="1"/>
      <c r="AS48" s="1"/>
      <c r="AT48" s="1"/>
    </row>
    <row r="49" spans="1:46" x14ac:dyDescent="0.25">
      <c r="A49" s="1"/>
      <c r="B49" s="1"/>
      <c r="C49" s="1"/>
      <c r="D49" s="1"/>
      <c r="E49" s="1"/>
      <c r="F49" s="1"/>
      <c r="G49" s="1"/>
      <c r="H49" s="1"/>
      <c r="I49" s="1"/>
      <c r="J49" s="1"/>
      <c r="K49" s="1"/>
      <c r="L49" s="1"/>
      <c r="M49" s="82">
        <v>9</v>
      </c>
      <c r="N49" s="74">
        <v>0.375</v>
      </c>
      <c r="O49" s="78">
        <v>0.6</v>
      </c>
      <c r="P49" s="99">
        <f t="shared" si="35"/>
        <v>6.3104999999999993</v>
      </c>
      <c r="Q49" s="61">
        <f t="shared" si="36"/>
        <v>5.2</v>
      </c>
      <c r="R49" s="93">
        <f t="shared" si="37"/>
        <v>-1.1104999999999992</v>
      </c>
      <c r="S49" s="91">
        <f>SUM($R$5:R49)</f>
        <v>24.731250000000003</v>
      </c>
      <c r="T49" s="1"/>
      <c r="U49" s="1"/>
      <c r="V49" s="82">
        <v>9</v>
      </c>
      <c r="W49" s="102">
        <v>0.375</v>
      </c>
      <c r="X49" s="78">
        <v>0.6</v>
      </c>
      <c r="Y49" s="99">
        <f t="shared" si="38"/>
        <v>4.2299999999999995</v>
      </c>
      <c r="Z49" s="103">
        <f t="shared" ref="Z49:Z58" si="44">Y49</f>
        <v>4.2299999999999995</v>
      </c>
      <c r="AA49" s="93">
        <v>0</v>
      </c>
      <c r="AB49" s="91" t="s">
        <v>123</v>
      </c>
      <c r="AC49" s="1"/>
      <c r="AD49" s="1"/>
      <c r="AE49" s="82">
        <v>9</v>
      </c>
      <c r="AF49" s="74">
        <v>0.375</v>
      </c>
      <c r="AG49" s="78">
        <v>0.6</v>
      </c>
      <c r="AH49" s="99">
        <f t="shared" si="41"/>
        <v>4.5414000000000003</v>
      </c>
      <c r="AI49" s="61">
        <f t="shared" si="42"/>
        <v>3.7</v>
      </c>
      <c r="AJ49" s="93">
        <f t="shared" si="43"/>
        <v>-0.84140000000000015</v>
      </c>
      <c r="AK49" s="91">
        <f>SUM($AJ$40:AJ49)</f>
        <v>16.374475</v>
      </c>
      <c r="AL49" s="1"/>
      <c r="AM49" s="1"/>
      <c r="AN49" s="1"/>
      <c r="AO49" s="1"/>
      <c r="AP49" s="1"/>
      <c r="AQ49" s="1"/>
      <c r="AR49" s="1"/>
      <c r="AS49" s="1"/>
      <c r="AT49" s="1"/>
    </row>
    <row r="50" spans="1:46" x14ac:dyDescent="0.25">
      <c r="A50" s="1"/>
      <c r="B50" s="1"/>
      <c r="C50" s="1"/>
      <c r="D50" s="1"/>
      <c r="E50" s="1"/>
      <c r="F50" s="1"/>
      <c r="G50" s="1"/>
      <c r="H50" s="1"/>
      <c r="I50" s="1"/>
      <c r="J50" s="1"/>
      <c r="K50" s="1"/>
      <c r="L50" s="1"/>
      <c r="M50" s="82">
        <v>10</v>
      </c>
      <c r="N50" s="74">
        <v>0.41666666666666702</v>
      </c>
      <c r="O50" s="78">
        <v>0.55000000000000004</v>
      </c>
      <c r="P50" s="99">
        <f t="shared" si="35"/>
        <v>5.7846250000000001</v>
      </c>
      <c r="Q50" s="61">
        <f t="shared" si="36"/>
        <v>5.2</v>
      </c>
      <c r="R50" s="93">
        <f t="shared" si="37"/>
        <v>-0.58462499999999995</v>
      </c>
      <c r="S50" s="91">
        <f>SUM($R$5:R50)</f>
        <v>24.146625000000004</v>
      </c>
      <c r="T50" s="1"/>
      <c r="U50" s="1"/>
      <c r="V50" s="82">
        <v>10</v>
      </c>
      <c r="W50" s="102">
        <v>0.41666666666666702</v>
      </c>
      <c r="X50" s="78">
        <v>0.55000000000000004</v>
      </c>
      <c r="Y50" s="99">
        <f t="shared" si="38"/>
        <v>3.8774999999999999</v>
      </c>
      <c r="Z50" s="103">
        <f t="shared" si="44"/>
        <v>3.8774999999999999</v>
      </c>
      <c r="AA50" s="93">
        <v>0</v>
      </c>
      <c r="AB50" s="91" t="s">
        <v>123</v>
      </c>
      <c r="AC50" s="1"/>
      <c r="AD50" s="1"/>
      <c r="AE50" s="82">
        <v>10</v>
      </c>
      <c r="AF50" s="74">
        <v>0.41666666666666702</v>
      </c>
      <c r="AG50" s="78">
        <v>0.55000000000000004</v>
      </c>
      <c r="AH50" s="99">
        <f t="shared" si="41"/>
        <v>4.1629500000000004</v>
      </c>
      <c r="AI50" s="61">
        <f t="shared" si="42"/>
        <v>3.7</v>
      </c>
      <c r="AJ50" s="93">
        <f t="shared" si="43"/>
        <v>-0.46295000000000019</v>
      </c>
      <c r="AK50" s="91">
        <f>SUM($AJ$40:AJ50)</f>
        <v>15.911525000000001</v>
      </c>
      <c r="AL50" s="1"/>
      <c r="AM50" s="1"/>
      <c r="AN50" s="1"/>
      <c r="AO50" s="1"/>
      <c r="AP50" s="1"/>
      <c r="AQ50" s="1"/>
      <c r="AR50" s="1"/>
      <c r="AS50" s="1"/>
      <c r="AT50" s="1"/>
    </row>
    <row r="51" spans="1:46" x14ac:dyDescent="0.25">
      <c r="A51" s="1"/>
      <c r="B51" s="1"/>
      <c r="C51" s="1"/>
      <c r="D51" s="1"/>
      <c r="E51" s="1"/>
      <c r="F51" s="1"/>
      <c r="G51" s="1"/>
      <c r="H51" s="1"/>
      <c r="I51" s="1"/>
      <c r="J51" s="1"/>
      <c r="K51" s="1"/>
      <c r="L51" s="1"/>
      <c r="M51" s="82">
        <v>11</v>
      </c>
      <c r="N51" s="74">
        <v>0.45833333333333298</v>
      </c>
      <c r="O51" s="78">
        <v>0.5</v>
      </c>
      <c r="P51" s="99">
        <f t="shared" si="35"/>
        <v>5.25875</v>
      </c>
      <c r="Q51" s="61">
        <f t="shared" si="36"/>
        <v>5.2</v>
      </c>
      <c r="R51" s="93">
        <f t="shared" si="37"/>
        <v>-5.8749999999999858E-2</v>
      </c>
      <c r="S51" s="91">
        <f>SUM($R$5:R51)</f>
        <v>24.087875000000004</v>
      </c>
      <c r="T51" s="1"/>
      <c r="U51" s="1"/>
      <c r="V51" s="82">
        <v>11</v>
      </c>
      <c r="W51" s="102">
        <v>0.45833333333333298</v>
      </c>
      <c r="X51" s="78">
        <v>0.5</v>
      </c>
      <c r="Y51" s="99">
        <f t="shared" si="38"/>
        <v>3.5249999999999999</v>
      </c>
      <c r="Z51" s="103">
        <f t="shared" si="44"/>
        <v>3.5249999999999999</v>
      </c>
      <c r="AA51" s="93">
        <v>0</v>
      </c>
      <c r="AB51" s="91" t="s">
        <v>123</v>
      </c>
      <c r="AC51" s="1"/>
      <c r="AD51" s="1"/>
      <c r="AE51" s="82">
        <v>11</v>
      </c>
      <c r="AF51" s="74">
        <v>0.45833333333333298</v>
      </c>
      <c r="AG51" s="78">
        <v>0.5</v>
      </c>
      <c r="AH51" s="99">
        <f t="shared" si="41"/>
        <v>3.7845</v>
      </c>
      <c r="AI51" s="61">
        <f t="shared" si="42"/>
        <v>3.7</v>
      </c>
      <c r="AJ51" s="93">
        <f t="shared" si="43"/>
        <v>-8.4499999999999797E-2</v>
      </c>
      <c r="AK51" s="91">
        <f>SUM($AJ$40:AJ51)</f>
        <v>15.827025000000001</v>
      </c>
      <c r="AL51" s="1"/>
      <c r="AM51" s="1"/>
      <c r="AN51" s="1"/>
      <c r="AO51" s="1"/>
      <c r="AP51" s="1"/>
      <c r="AQ51" s="1"/>
      <c r="AR51" s="1"/>
      <c r="AS51" s="1"/>
      <c r="AT51" s="1"/>
    </row>
    <row r="52" spans="1:46" x14ac:dyDescent="0.25">
      <c r="A52" s="1"/>
      <c r="B52" s="1"/>
      <c r="C52" s="1"/>
      <c r="D52" s="1"/>
      <c r="E52" s="1"/>
      <c r="F52" s="1"/>
      <c r="G52" s="1"/>
      <c r="H52" s="1"/>
      <c r="I52" s="1"/>
      <c r="J52" s="1"/>
      <c r="K52" s="1"/>
      <c r="L52" s="1"/>
      <c r="M52" s="82">
        <v>12</v>
      </c>
      <c r="N52" s="74">
        <v>0.5</v>
      </c>
      <c r="O52" s="78">
        <v>0.5</v>
      </c>
      <c r="P52" s="99">
        <f t="shared" si="35"/>
        <v>5.25875</v>
      </c>
      <c r="Q52" s="61">
        <f t="shared" si="36"/>
        <v>5.2</v>
      </c>
      <c r="R52" s="93">
        <f t="shared" si="37"/>
        <v>-5.8749999999999858E-2</v>
      </c>
      <c r="S52" s="91">
        <f>SUM($R$5:R52)</f>
        <v>24.029125000000004</v>
      </c>
      <c r="T52" s="1"/>
      <c r="U52" s="1"/>
      <c r="V52" s="82">
        <v>12</v>
      </c>
      <c r="W52" s="102">
        <v>0.5</v>
      </c>
      <c r="X52" s="78">
        <v>0.5</v>
      </c>
      <c r="Y52" s="99">
        <f t="shared" si="38"/>
        <v>3.5249999999999999</v>
      </c>
      <c r="Z52" s="103">
        <f t="shared" si="44"/>
        <v>3.5249999999999999</v>
      </c>
      <c r="AA52" s="93">
        <v>0</v>
      </c>
      <c r="AB52" s="91" t="s">
        <v>123</v>
      </c>
      <c r="AC52" s="1"/>
      <c r="AD52" s="1"/>
      <c r="AE52" s="82">
        <v>12</v>
      </c>
      <c r="AF52" s="74">
        <v>0.5</v>
      </c>
      <c r="AG52" s="78">
        <v>0.5</v>
      </c>
      <c r="AH52" s="99">
        <f t="shared" si="41"/>
        <v>3.7845</v>
      </c>
      <c r="AI52" s="61">
        <f t="shared" si="42"/>
        <v>3.7</v>
      </c>
      <c r="AJ52" s="93">
        <f t="shared" si="43"/>
        <v>-8.4499999999999797E-2</v>
      </c>
      <c r="AK52" s="91">
        <f>SUM($AJ$40:AJ52)</f>
        <v>15.742525000000001</v>
      </c>
      <c r="AL52" s="1"/>
      <c r="AM52" s="1"/>
      <c r="AN52" s="1"/>
      <c r="AO52" s="1"/>
      <c r="AP52" s="1"/>
      <c r="AQ52" s="1"/>
      <c r="AR52" s="1"/>
      <c r="AS52" s="1"/>
      <c r="AT52" s="1"/>
    </row>
    <row r="53" spans="1:46" x14ac:dyDescent="0.25">
      <c r="A53" s="1"/>
      <c r="B53" s="1"/>
      <c r="C53" s="1"/>
      <c r="D53" s="1"/>
      <c r="E53" s="1"/>
      <c r="F53" s="1"/>
      <c r="G53" s="1"/>
      <c r="H53" s="1"/>
      <c r="I53" s="1"/>
      <c r="J53" s="1"/>
      <c r="K53" s="1"/>
      <c r="L53" s="1"/>
      <c r="M53" s="82">
        <v>13</v>
      </c>
      <c r="N53" s="74">
        <v>0.54166666666666696</v>
      </c>
      <c r="O53" s="78">
        <v>0.5</v>
      </c>
      <c r="P53" s="99">
        <f t="shared" si="35"/>
        <v>5.25875</v>
      </c>
      <c r="Q53" s="61">
        <f t="shared" si="36"/>
        <v>5.2</v>
      </c>
      <c r="R53" s="93">
        <f t="shared" si="37"/>
        <v>-5.8749999999999858E-2</v>
      </c>
      <c r="S53" s="91">
        <f>SUM($R$5:R53)</f>
        <v>23.970375000000004</v>
      </c>
      <c r="T53" s="1"/>
      <c r="U53" s="1"/>
      <c r="V53" s="82">
        <v>13</v>
      </c>
      <c r="W53" s="102">
        <v>0.54166666666666696</v>
      </c>
      <c r="X53" s="78">
        <v>0.5</v>
      </c>
      <c r="Y53" s="99">
        <f t="shared" si="38"/>
        <v>3.5249999999999999</v>
      </c>
      <c r="Z53" s="103">
        <f t="shared" si="44"/>
        <v>3.5249999999999999</v>
      </c>
      <c r="AA53" s="93">
        <v>0</v>
      </c>
      <c r="AB53" s="91" t="s">
        <v>123</v>
      </c>
      <c r="AC53" s="1"/>
      <c r="AD53" s="1"/>
      <c r="AE53" s="82">
        <v>13</v>
      </c>
      <c r="AF53" s="74">
        <v>0.54166666666666696</v>
      </c>
      <c r="AG53" s="78">
        <v>0.5</v>
      </c>
      <c r="AH53" s="99">
        <f t="shared" si="41"/>
        <v>3.7845</v>
      </c>
      <c r="AI53" s="61">
        <f t="shared" si="42"/>
        <v>3.7</v>
      </c>
      <c r="AJ53" s="93">
        <f t="shared" si="43"/>
        <v>-8.4499999999999797E-2</v>
      </c>
      <c r="AK53" s="91">
        <f>SUM($AJ$40:AJ53)</f>
        <v>15.658025</v>
      </c>
      <c r="AL53" s="1"/>
      <c r="AM53" s="1"/>
      <c r="AN53" s="1"/>
      <c r="AO53" s="1"/>
      <c r="AP53" s="1"/>
      <c r="AQ53" s="1"/>
      <c r="AR53" s="1"/>
      <c r="AS53" s="1"/>
      <c r="AT53" s="1"/>
    </row>
    <row r="54" spans="1:46" x14ac:dyDescent="0.25">
      <c r="A54" s="1"/>
      <c r="B54" s="1"/>
      <c r="C54" s="1"/>
      <c r="D54" s="1"/>
      <c r="E54" s="1"/>
      <c r="F54" s="1"/>
      <c r="G54" s="1"/>
      <c r="H54" s="1"/>
      <c r="I54" s="1"/>
      <c r="J54" s="1"/>
      <c r="K54" s="1"/>
      <c r="L54" s="1"/>
      <c r="M54" s="82">
        <v>14</v>
      </c>
      <c r="N54" s="74">
        <v>0.58333333333333304</v>
      </c>
      <c r="O54" s="78">
        <v>0.5</v>
      </c>
      <c r="P54" s="99">
        <f t="shared" si="35"/>
        <v>5.25875</v>
      </c>
      <c r="Q54" s="61">
        <f t="shared" si="36"/>
        <v>5.2</v>
      </c>
      <c r="R54" s="93">
        <f t="shared" si="37"/>
        <v>-5.8749999999999858E-2</v>
      </c>
      <c r="S54" s="91">
        <f>SUM($R$5:R54)</f>
        <v>23.911625000000004</v>
      </c>
      <c r="T54" s="1"/>
      <c r="U54" s="1"/>
      <c r="V54" s="82">
        <v>14</v>
      </c>
      <c r="W54" s="102">
        <v>0.58333333333333304</v>
      </c>
      <c r="X54" s="78">
        <v>0.5</v>
      </c>
      <c r="Y54" s="99">
        <f t="shared" si="38"/>
        <v>3.5249999999999999</v>
      </c>
      <c r="Z54" s="103">
        <f t="shared" si="44"/>
        <v>3.5249999999999999</v>
      </c>
      <c r="AA54" s="93">
        <v>0</v>
      </c>
      <c r="AB54" s="91" t="s">
        <v>123</v>
      </c>
      <c r="AC54" s="1"/>
      <c r="AD54" s="1"/>
      <c r="AE54" s="82">
        <v>14</v>
      </c>
      <c r="AF54" s="74">
        <v>0.58333333333333304</v>
      </c>
      <c r="AG54" s="78">
        <v>0.5</v>
      </c>
      <c r="AH54" s="99">
        <f t="shared" si="41"/>
        <v>3.7845</v>
      </c>
      <c r="AI54" s="61">
        <f t="shared" si="42"/>
        <v>3.7</v>
      </c>
      <c r="AJ54" s="93">
        <f t="shared" si="43"/>
        <v>-8.4499999999999797E-2</v>
      </c>
      <c r="AK54" s="91">
        <f>SUM($AJ$40:AJ54)</f>
        <v>15.573525</v>
      </c>
      <c r="AL54" s="1"/>
      <c r="AM54" s="1"/>
      <c r="AN54" s="1"/>
      <c r="AO54" s="1"/>
      <c r="AP54" s="1"/>
      <c r="AQ54" s="1"/>
      <c r="AR54" s="1"/>
      <c r="AS54" s="1"/>
      <c r="AT54" s="1"/>
    </row>
    <row r="55" spans="1:46" x14ac:dyDescent="0.25">
      <c r="A55" s="1"/>
      <c r="B55" s="1"/>
      <c r="C55" s="1"/>
      <c r="D55" s="1"/>
      <c r="E55" s="1"/>
      <c r="F55" s="1"/>
      <c r="G55" s="1"/>
      <c r="H55" s="1"/>
      <c r="I55" s="1"/>
      <c r="J55" s="1"/>
      <c r="K55" s="1"/>
      <c r="L55" s="1"/>
      <c r="M55" s="82">
        <v>15</v>
      </c>
      <c r="N55" s="74">
        <v>0.625</v>
      </c>
      <c r="O55" s="78">
        <v>0.5</v>
      </c>
      <c r="P55" s="99">
        <f t="shared" si="35"/>
        <v>5.25875</v>
      </c>
      <c r="Q55" s="61">
        <f t="shared" si="36"/>
        <v>5.2</v>
      </c>
      <c r="R55" s="93">
        <f t="shared" si="37"/>
        <v>-5.8749999999999858E-2</v>
      </c>
      <c r="S55" s="91">
        <f>SUM($R$5:R55)</f>
        <v>23.852875000000004</v>
      </c>
      <c r="T55" s="1"/>
      <c r="U55" s="1"/>
      <c r="V55" s="82">
        <v>15</v>
      </c>
      <c r="W55" s="102">
        <v>0.625</v>
      </c>
      <c r="X55" s="78">
        <v>0.5</v>
      </c>
      <c r="Y55" s="99">
        <f t="shared" si="38"/>
        <v>3.5249999999999999</v>
      </c>
      <c r="Z55" s="103">
        <f t="shared" si="44"/>
        <v>3.5249999999999999</v>
      </c>
      <c r="AA55" s="93">
        <v>0</v>
      </c>
      <c r="AB55" s="91" t="s">
        <v>123</v>
      </c>
      <c r="AC55" s="1"/>
      <c r="AD55" s="1"/>
      <c r="AE55" s="82">
        <v>15</v>
      </c>
      <c r="AF55" s="74">
        <v>0.625</v>
      </c>
      <c r="AG55" s="78">
        <v>0.5</v>
      </c>
      <c r="AH55" s="99">
        <f t="shared" si="41"/>
        <v>3.7845</v>
      </c>
      <c r="AI55" s="61">
        <f t="shared" si="42"/>
        <v>3.7</v>
      </c>
      <c r="AJ55" s="93">
        <f t="shared" si="43"/>
        <v>-8.4499999999999797E-2</v>
      </c>
      <c r="AK55" s="91">
        <f>SUM($AJ$40:AJ55)</f>
        <v>15.489025</v>
      </c>
      <c r="AL55" s="1"/>
      <c r="AM55" s="1"/>
      <c r="AN55" s="1"/>
      <c r="AO55" s="1"/>
      <c r="AP55" s="1"/>
      <c r="AQ55" s="1"/>
      <c r="AR55" s="1"/>
      <c r="AS55" s="1"/>
      <c r="AT55" s="1"/>
    </row>
    <row r="56" spans="1:46" x14ac:dyDescent="0.25">
      <c r="A56" s="1"/>
      <c r="B56" s="1"/>
      <c r="C56" s="1"/>
      <c r="D56" s="1"/>
      <c r="E56" s="1"/>
      <c r="F56" s="1"/>
      <c r="G56" s="1"/>
      <c r="H56" s="1"/>
      <c r="I56" s="1"/>
      <c r="J56" s="1"/>
      <c r="K56" s="1"/>
      <c r="L56" s="1"/>
      <c r="M56" s="82">
        <v>16</v>
      </c>
      <c r="N56" s="74">
        <v>0.66666666666666696</v>
      </c>
      <c r="O56" s="78">
        <v>0.6</v>
      </c>
      <c r="P56" s="99">
        <f t="shared" si="35"/>
        <v>6.3104999999999993</v>
      </c>
      <c r="Q56" s="61">
        <f t="shared" si="36"/>
        <v>5.2</v>
      </c>
      <c r="R56" s="93">
        <f t="shared" si="37"/>
        <v>-1.1104999999999992</v>
      </c>
      <c r="S56" s="91">
        <f>SUM($R$5:R56)</f>
        <v>22.742375000000006</v>
      </c>
      <c r="T56" s="1"/>
      <c r="U56" s="1"/>
      <c r="V56" s="82">
        <v>16</v>
      </c>
      <c r="W56" s="102">
        <v>0.66666666666666696</v>
      </c>
      <c r="X56" s="78">
        <v>0.6</v>
      </c>
      <c r="Y56" s="99">
        <f t="shared" si="38"/>
        <v>4.2299999999999995</v>
      </c>
      <c r="Z56" s="103">
        <f t="shared" si="44"/>
        <v>4.2299999999999995</v>
      </c>
      <c r="AA56" s="93">
        <v>0</v>
      </c>
      <c r="AB56" s="91" t="s">
        <v>123</v>
      </c>
      <c r="AC56" s="1"/>
      <c r="AD56" s="1"/>
      <c r="AE56" s="82">
        <v>16</v>
      </c>
      <c r="AF56" s="74">
        <v>0.66666666666666696</v>
      </c>
      <c r="AG56" s="78">
        <v>0.6</v>
      </c>
      <c r="AH56" s="99">
        <f t="shared" si="41"/>
        <v>4.5414000000000003</v>
      </c>
      <c r="AI56" s="61">
        <f t="shared" si="42"/>
        <v>3.7</v>
      </c>
      <c r="AJ56" s="93">
        <f t="shared" si="43"/>
        <v>-0.84140000000000015</v>
      </c>
      <c r="AK56" s="91">
        <f>SUM($AJ$40:AJ56)</f>
        <v>14.647625</v>
      </c>
      <c r="AL56" s="1"/>
      <c r="AM56" s="1"/>
      <c r="AN56" s="1"/>
      <c r="AO56" s="1"/>
      <c r="AP56" s="1"/>
      <c r="AQ56" s="1"/>
      <c r="AR56" s="1"/>
      <c r="AS56" s="1"/>
      <c r="AT56" s="1"/>
    </row>
    <row r="57" spans="1:46" x14ac:dyDescent="0.25">
      <c r="A57" s="1"/>
      <c r="B57" s="1"/>
      <c r="C57" s="1"/>
      <c r="D57" s="1"/>
      <c r="E57" s="1"/>
      <c r="F57" s="1"/>
      <c r="G57" s="1"/>
      <c r="H57" s="1"/>
      <c r="I57" s="1"/>
      <c r="J57" s="1"/>
      <c r="K57" s="1"/>
      <c r="L57" s="1"/>
      <c r="M57" s="82">
        <v>17</v>
      </c>
      <c r="N57" s="74">
        <v>0.70833333333333304</v>
      </c>
      <c r="O57" s="78">
        <v>0.7</v>
      </c>
      <c r="P57" s="99">
        <f t="shared" si="35"/>
        <v>7.3622499999999995</v>
      </c>
      <c r="Q57" s="61">
        <f t="shared" si="36"/>
        <v>5.2</v>
      </c>
      <c r="R57" s="93">
        <f t="shared" si="37"/>
        <v>-2.1622499999999993</v>
      </c>
      <c r="S57" s="91">
        <f>SUM($R$5:R57)</f>
        <v>20.580125000000006</v>
      </c>
      <c r="T57" s="1"/>
      <c r="U57" s="1"/>
      <c r="V57" s="82">
        <v>17</v>
      </c>
      <c r="W57" s="102">
        <v>0.70833333333333304</v>
      </c>
      <c r="X57" s="78">
        <v>0.7</v>
      </c>
      <c r="Y57" s="99">
        <f t="shared" si="38"/>
        <v>4.9349999999999996</v>
      </c>
      <c r="Z57" s="103">
        <f t="shared" si="44"/>
        <v>4.9349999999999996</v>
      </c>
      <c r="AA57" s="93">
        <v>0</v>
      </c>
      <c r="AB57" s="91" t="s">
        <v>123</v>
      </c>
      <c r="AC57" s="1"/>
      <c r="AD57" s="1"/>
      <c r="AE57" s="82">
        <v>17</v>
      </c>
      <c r="AF57" s="74">
        <v>0.70833333333333304</v>
      </c>
      <c r="AG57" s="78">
        <v>0.7</v>
      </c>
      <c r="AH57" s="99">
        <f t="shared" si="41"/>
        <v>5.2983000000000002</v>
      </c>
      <c r="AI57" s="61">
        <f t="shared" si="42"/>
        <v>3.7</v>
      </c>
      <c r="AJ57" s="93">
        <f t="shared" si="43"/>
        <v>-1.5983000000000001</v>
      </c>
      <c r="AK57" s="91">
        <f>SUM($AJ$40:AJ57)</f>
        <v>13.049325</v>
      </c>
      <c r="AL57" s="1"/>
      <c r="AM57" s="1"/>
      <c r="AN57" s="1"/>
      <c r="AO57" s="1"/>
      <c r="AP57" s="1"/>
      <c r="AQ57" s="1"/>
      <c r="AR57" s="1"/>
      <c r="AS57" s="1"/>
      <c r="AT57" s="1"/>
    </row>
    <row r="58" spans="1:46" x14ac:dyDescent="0.25">
      <c r="A58" s="1"/>
      <c r="B58" s="1"/>
      <c r="C58" s="1"/>
      <c r="D58" s="1"/>
      <c r="E58" s="1"/>
      <c r="F58" s="1"/>
      <c r="G58" s="1"/>
      <c r="H58" s="1"/>
      <c r="I58" s="1"/>
      <c r="J58" s="1"/>
      <c r="K58" s="1"/>
      <c r="L58" s="1"/>
      <c r="M58" s="82">
        <v>18</v>
      </c>
      <c r="N58" s="74">
        <v>0.75</v>
      </c>
      <c r="O58" s="78">
        <v>0.8</v>
      </c>
      <c r="P58" s="99">
        <f t="shared" si="35"/>
        <v>8.4139999999999997</v>
      </c>
      <c r="Q58" s="61">
        <f t="shared" si="36"/>
        <v>5.2</v>
      </c>
      <c r="R58" s="93">
        <f t="shared" si="37"/>
        <v>-3.2139999999999995</v>
      </c>
      <c r="S58" s="91">
        <f>SUM($R$5:R58)</f>
        <v>17.366125000000007</v>
      </c>
      <c r="T58" s="1"/>
      <c r="U58" s="1"/>
      <c r="V58" s="82">
        <v>18</v>
      </c>
      <c r="W58" s="102">
        <v>0.75</v>
      </c>
      <c r="X58" s="78">
        <v>0.8</v>
      </c>
      <c r="Y58" s="99">
        <f t="shared" si="38"/>
        <v>5.64</v>
      </c>
      <c r="Z58" s="103">
        <f t="shared" si="44"/>
        <v>5.64</v>
      </c>
      <c r="AA58" s="93">
        <v>0</v>
      </c>
      <c r="AB58" s="91" t="s">
        <v>123</v>
      </c>
      <c r="AC58" s="1"/>
      <c r="AD58" s="1"/>
      <c r="AE58" s="82">
        <v>18</v>
      </c>
      <c r="AF58" s="74">
        <v>0.75</v>
      </c>
      <c r="AG58" s="78">
        <v>0.8</v>
      </c>
      <c r="AH58" s="99">
        <f>AG58*2.5*$AE$3</f>
        <v>6.0552000000000001</v>
      </c>
      <c r="AI58" s="61">
        <f t="shared" si="42"/>
        <v>3.7</v>
      </c>
      <c r="AJ58" s="93">
        <f t="shared" si="43"/>
        <v>-2.3552</v>
      </c>
      <c r="AK58" s="91">
        <f>SUM($AJ$40:AJ58)</f>
        <v>10.694125</v>
      </c>
      <c r="AL58" s="1"/>
      <c r="AM58" s="1"/>
      <c r="AN58" s="1"/>
      <c r="AO58" s="1"/>
      <c r="AP58" s="1"/>
      <c r="AQ58" s="1"/>
      <c r="AR58" s="1"/>
      <c r="AS58" s="1"/>
      <c r="AT58" s="1"/>
    </row>
    <row r="59" spans="1:46" x14ac:dyDescent="0.25">
      <c r="A59" s="1"/>
      <c r="B59" s="1"/>
      <c r="C59" s="1"/>
      <c r="D59" s="1"/>
      <c r="E59" s="1"/>
      <c r="F59" s="1"/>
      <c r="G59" s="1"/>
      <c r="H59" s="1"/>
      <c r="I59" s="1"/>
      <c r="J59" s="1"/>
      <c r="K59" s="1"/>
      <c r="L59" s="1"/>
      <c r="M59" s="82">
        <v>19</v>
      </c>
      <c r="N59" s="74">
        <v>0.79166666666666696</v>
      </c>
      <c r="O59" s="78">
        <v>0.8</v>
      </c>
      <c r="P59" s="99">
        <f t="shared" si="35"/>
        <v>8.4139999999999997</v>
      </c>
      <c r="Q59" s="61">
        <f t="shared" si="36"/>
        <v>5.2</v>
      </c>
      <c r="R59" s="93">
        <f t="shared" si="37"/>
        <v>-3.2139999999999995</v>
      </c>
      <c r="S59" s="91">
        <f>SUM($R$5:R59)</f>
        <v>14.152125000000009</v>
      </c>
      <c r="T59" s="1"/>
      <c r="U59" s="1"/>
      <c r="V59" s="82">
        <v>19</v>
      </c>
      <c r="W59" s="74">
        <v>0.79166666666666696</v>
      </c>
      <c r="X59" s="78">
        <v>0.8</v>
      </c>
      <c r="Y59" s="99">
        <f t="shared" si="38"/>
        <v>5.64</v>
      </c>
      <c r="Z59" s="61">
        <f t="shared" ref="Z59:Z63" si="45">$Z$37</f>
        <v>3</v>
      </c>
      <c r="AA59" s="93">
        <f t="shared" si="40"/>
        <v>-2.6399999999999997</v>
      </c>
      <c r="AB59" s="91">
        <f>SUM($AA$40:AA59)</f>
        <v>10.608750000000001</v>
      </c>
      <c r="AC59" s="1"/>
      <c r="AD59" s="1"/>
      <c r="AE59" s="82">
        <v>19</v>
      </c>
      <c r="AF59" s="74">
        <v>0.79166666666666696</v>
      </c>
      <c r="AG59" s="78">
        <v>0.8</v>
      </c>
      <c r="AH59" s="99">
        <f t="shared" ref="AH59:AH63" si="46">AG59*2.5*$AE$3</f>
        <v>6.0552000000000001</v>
      </c>
      <c r="AI59" s="61">
        <f t="shared" si="42"/>
        <v>3.7</v>
      </c>
      <c r="AJ59" s="93">
        <f t="shared" si="43"/>
        <v>-2.3552</v>
      </c>
      <c r="AK59" s="91">
        <f>SUM($AJ$40:AJ59)</f>
        <v>8.3389249999999997</v>
      </c>
      <c r="AL59" s="1"/>
      <c r="AM59" s="1"/>
      <c r="AN59" s="1"/>
      <c r="AO59" s="1"/>
      <c r="AP59" s="1"/>
      <c r="AQ59" s="1"/>
      <c r="AR59" s="1"/>
      <c r="AS59" s="1"/>
      <c r="AT59" s="1"/>
    </row>
    <row r="60" spans="1:46" x14ac:dyDescent="0.25">
      <c r="A60" s="1"/>
      <c r="B60" s="1"/>
      <c r="C60" s="1"/>
      <c r="D60" s="1"/>
      <c r="E60" s="1"/>
      <c r="F60" s="1"/>
      <c r="G60" s="1"/>
      <c r="H60" s="1"/>
      <c r="I60" s="1"/>
      <c r="J60" s="1"/>
      <c r="K60" s="1"/>
      <c r="L60" s="1"/>
      <c r="M60" s="82">
        <v>20</v>
      </c>
      <c r="N60" s="74">
        <v>0.83333333333333304</v>
      </c>
      <c r="O60" s="78">
        <v>0.8</v>
      </c>
      <c r="P60" s="99">
        <f t="shared" si="35"/>
        <v>8.4139999999999997</v>
      </c>
      <c r="Q60" s="61">
        <f t="shared" si="36"/>
        <v>5.2</v>
      </c>
      <c r="R60" s="93">
        <f t="shared" si="37"/>
        <v>-3.2139999999999995</v>
      </c>
      <c r="S60" s="91">
        <f>SUM($R$5:R60)</f>
        <v>10.93812500000001</v>
      </c>
      <c r="T60" s="1"/>
      <c r="U60" s="1"/>
      <c r="V60" s="82">
        <v>20</v>
      </c>
      <c r="W60" s="74">
        <v>0.83333333333333304</v>
      </c>
      <c r="X60" s="78">
        <v>0.8</v>
      </c>
      <c r="Y60" s="99">
        <f t="shared" si="38"/>
        <v>5.64</v>
      </c>
      <c r="Z60" s="61">
        <f t="shared" si="45"/>
        <v>3</v>
      </c>
      <c r="AA60" s="93">
        <f t="shared" si="40"/>
        <v>-2.6399999999999997</v>
      </c>
      <c r="AB60" s="91">
        <f>SUM($AA$40:AA60)</f>
        <v>7.9687500000000009</v>
      </c>
      <c r="AC60" s="1"/>
      <c r="AD60" s="1"/>
      <c r="AE60" s="82">
        <v>20</v>
      </c>
      <c r="AF60" s="74">
        <v>0.83333333333333304</v>
      </c>
      <c r="AG60" s="78">
        <v>0.8</v>
      </c>
      <c r="AH60" s="99">
        <f t="shared" si="46"/>
        <v>6.0552000000000001</v>
      </c>
      <c r="AI60" s="61">
        <f t="shared" si="42"/>
        <v>3.7</v>
      </c>
      <c r="AJ60" s="93">
        <f t="shared" si="43"/>
        <v>-2.3552</v>
      </c>
      <c r="AK60" s="91">
        <f>SUM($AJ$40:AJ60)</f>
        <v>5.9837249999999997</v>
      </c>
      <c r="AL60" s="1"/>
      <c r="AM60" s="1"/>
      <c r="AN60" s="1"/>
      <c r="AO60" s="1"/>
      <c r="AP60" s="1"/>
      <c r="AQ60" s="1"/>
      <c r="AR60" s="1"/>
      <c r="AS60" s="1"/>
      <c r="AT60" s="1"/>
    </row>
    <row r="61" spans="1:46" x14ac:dyDescent="0.25">
      <c r="A61" s="1"/>
      <c r="B61" s="1"/>
      <c r="C61" s="1"/>
      <c r="D61" s="1"/>
      <c r="E61" s="1"/>
      <c r="F61" s="1"/>
      <c r="G61" s="1"/>
      <c r="H61" s="1"/>
      <c r="I61" s="1"/>
      <c r="J61" s="1"/>
      <c r="K61" s="1"/>
      <c r="L61" s="1"/>
      <c r="M61" s="82">
        <v>21</v>
      </c>
      <c r="N61" s="74">
        <v>0.875</v>
      </c>
      <c r="O61" s="78">
        <v>0.8</v>
      </c>
      <c r="P61" s="99">
        <f t="shared" si="35"/>
        <v>8.4139999999999997</v>
      </c>
      <c r="Q61" s="61">
        <f t="shared" si="36"/>
        <v>5.2</v>
      </c>
      <c r="R61" s="93">
        <f t="shared" si="37"/>
        <v>-3.2139999999999995</v>
      </c>
      <c r="S61" s="91">
        <f>SUM($R$5:R61)</f>
        <v>7.7241250000000106</v>
      </c>
      <c r="T61" s="1"/>
      <c r="U61" s="1"/>
      <c r="V61" s="82">
        <v>21</v>
      </c>
      <c r="W61" s="74">
        <v>0.875</v>
      </c>
      <c r="X61" s="78">
        <v>0.8</v>
      </c>
      <c r="Y61" s="99">
        <f t="shared" si="38"/>
        <v>5.64</v>
      </c>
      <c r="Z61" s="61">
        <f t="shared" si="45"/>
        <v>3</v>
      </c>
      <c r="AA61" s="93">
        <f t="shared" si="40"/>
        <v>-2.6399999999999997</v>
      </c>
      <c r="AB61" s="91">
        <f>SUM($AA$40:AA61)</f>
        <v>5.3287500000000012</v>
      </c>
      <c r="AC61" s="1"/>
      <c r="AD61" s="1"/>
      <c r="AE61" s="82">
        <v>21</v>
      </c>
      <c r="AF61" s="74">
        <v>0.875</v>
      </c>
      <c r="AG61" s="78">
        <v>0.8</v>
      </c>
      <c r="AH61" s="99">
        <f t="shared" si="46"/>
        <v>6.0552000000000001</v>
      </c>
      <c r="AI61" s="61">
        <f t="shared" si="42"/>
        <v>3.7</v>
      </c>
      <c r="AJ61" s="93">
        <f t="shared" si="43"/>
        <v>-2.3552</v>
      </c>
      <c r="AK61" s="91">
        <f>SUM($AJ$40:AJ61)</f>
        <v>3.6285249999999998</v>
      </c>
      <c r="AL61" s="1"/>
      <c r="AM61" s="1"/>
      <c r="AN61" s="1"/>
      <c r="AO61" s="1"/>
      <c r="AP61" s="1"/>
      <c r="AQ61" s="1"/>
      <c r="AR61" s="1"/>
      <c r="AS61" s="1"/>
      <c r="AT61" s="1"/>
    </row>
    <row r="62" spans="1:46" x14ac:dyDescent="0.25">
      <c r="A62" s="1"/>
      <c r="B62" s="1"/>
      <c r="C62" s="1"/>
      <c r="D62" s="1"/>
      <c r="E62" s="1"/>
      <c r="F62" s="1"/>
      <c r="G62" s="1"/>
      <c r="H62" s="1"/>
      <c r="I62" s="1"/>
      <c r="J62" s="1"/>
      <c r="K62" s="1"/>
      <c r="L62" s="1"/>
      <c r="M62" s="83">
        <v>22</v>
      </c>
      <c r="N62" s="75">
        <v>0.91666666666666696</v>
      </c>
      <c r="O62" s="79">
        <v>0.6</v>
      </c>
      <c r="P62" s="99">
        <f t="shared" si="35"/>
        <v>6.3104999999999993</v>
      </c>
      <c r="Q62" s="61">
        <f t="shared" si="36"/>
        <v>5.2</v>
      </c>
      <c r="R62" s="93">
        <f t="shared" si="37"/>
        <v>-1.1104999999999992</v>
      </c>
      <c r="S62" s="91">
        <f>SUM($R$5:R62)</f>
        <v>6.6136250000000114</v>
      </c>
      <c r="T62" s="1"/>
      <c r="U62" s="1"/>
      <c r="V62" s="83">
        <v>22</v>
      </c>
      <c r="W62" s="75">
        <v>0.91666666666666696</v>
      </c>
      <c r="X62" s="79">
        <v>0.6</v>
      </c>
      <c r="Y62" s="99">
        <f t="shared" si="38"/>
        <v>4.2299999999999995</v>
      </c>
      <c r="Z62" s="61">
        <f t="shared" si="45"/>
        <v>3</v>
      </c>
      <c r="AA62" s="93">
        <f t="shared" si="40"/>
        <v>-1.2299999999999995</v>
      </c>
      <c r="AB62" s="91">
        <f>SUM($AA$40:AA62)</f>
        <v>4.0987500000000017</v>
      </c>
      <c r="AC62" s="1"/>
      <c r="AD62" s="1"/>
      <c r="AE62" s="83">
        <v>22</v>
      </c>
      <c r="AF62" s="75">
        <v>0.91666666666666696</v>
      </c>
      <c r="AG62" s="79">
        <v>0.6</v>
      </c>
      <c r="AH62" s="99">
        <f t="shared" si="46"/>
        <v>4.5414000000000003</v>
      </c>
      <c r="AI62" s="61">
        <f t="shared" si="42"/>
        <v>3.7</v>
      </c>
      <c r="AJ62" s="93">
        <f t="shared" si="43"/>
        <v>-0.84140000000000015</v>
      </c>
      <c r="AK62" s="91">
        <f>SUM($AJ$40:AJ62)</f>
        <v>2.7871249999999996</v>
      </c>
      <c r="AL62" s="1"/>
      <c r="AM62" s="1"/>
      <c r="AN62" s="1"/>
      <c r="AO62" s="1"/>
      <c r="AP62" s="1"/>
      <c r="AQ62" s="1"/>
      <c r="AR62" s="1"/>
      <c r="AS62" s="1"/>
      <c r="AT62" s="1"/>
    </row>
    <row r="63" spans="1:46" ht="15.75" thickBot="1" x14ac:dyDescent="0.3">
      <c r="A63" s="1"/>
      <c r="B63" s="1"/>
      <c r="C63" s="1"/>
      <c r="D63" s="1"/>
      <c r="E63" s="1"/>
      <c r="F63" s="1"/>
      <c r="G63" s="1"/>
      <c r="H63" s="1"/>
      <c r="I63" s="1"/>
      <c r="J63" s="1"/>
      <c r="K63" s="1"/>
      <c r="L63" s="1"/>
      <c r="M63" s="84">
        <v>23</v>
      </c>
      <c r="N63" s="76">
        <v>0.95833333333333304</v>
      </c>
      <c r="O63" s="80">
        <v>0.4</v>
      </c>
      <c r="P63" s="100">
        <f t="shared" si="35"/>
        <v>4.2069999999999999</v>
      </c>
      <c r="Q63" s="62">
        <f t="shared" si="36"/>
        <v>5.2</v>
      </c>
      <c r="R63" s="93">
        <f t="shared" si="37"/>
        <v>0.99300000000000033</v>
      </c>
      <c r="S63" s="91">
        <f>SUM($R$5:R63)</f>
        <v>7.6066250000000117</v>
      </c>
      <c r="T63" s="1"/>
      <c r="U63" s="1"/>
      <c r="V63" s="84">
        <v>23</v>
      </c>
      <c r="W63" s="76">
        <v>0.95833333333333304</v>
      </c>
      <c r="X63" s="80">
        <v>0.4</v>
      </c>
      <c r="Y63" s="100">
        <f t="shared" si="38"/>
        <v>2.82</v>
      </c>
      <c r="Z63" s="62">
        <f t="shared" si="45"/>
        <v>3</v>
      </c>
      <c r="AA63" s="93">
        <f t="shared" si="40"/>
        <v>0.18000000000000016</v>
      </c>
      <c r="AB63" s="91">
        <f>SUM($AA$40:AA63)</f>
        <v>4.2787500000000023</v>
      </c>
      <c r="AC63" s="1"/>
      <c r="AD63" s="1"/>
      <c r="AE63" s="84">
        <v>23</v>
      </c>
      <c r="AF63" s="76">
        <v>0.95833333333333304</v>
      </c>
      <c r="AG63" s="80">
        <v>0.4</v>
      </c>
      <c r="AH63" s="100">
        <f t="shared" si="46"/>
        <v>3.0276000000000001</v>
      </c>
      <c r="AI63" s="62">
        <f t="shared" si="42"/>
        <v>3.7</v>
      </c>
      <c r="AJ63" s="93">
        <f t="shared" si="43"/>
        <v>0.67240000000000011</v>
      </c>
      <c r="AK63" s="91">
        <f>SUM($AJ$40:AJ63)</f>
        <v>3.4595249999999997</v>
      </c>
      <c r="AL63" s="1"/>
      <c r="AM63" s="1"/>
      <c r="AN63" s="1"/>
      <c r="AO63" s="1"/>
      <c r="AP63" s="1"/>
      <c r="AQ63" s="1"/>
      <c r="AR63" s="1"/>
      <c r="AS63" s="1"/>
      <c r="AT63" s="1"/>
    </row>
    <row r="64" spans="1:46" x14ac:dyDescent="0.25">
      <c r="A64" s="1"/>
      <c r="B64" s="1"/>
      <c r="C64" s="1"/>
      <c r="D64" s="1"/>
      <c r="E64" s="1"/>
      <c r="F64" s="1"/>
      <c r="G64" s="1"/>
      <c r="H64" s="1"/>
      <c r="I64" s="1"/>
      <c r="J64" s="1"/>
      <c r="K64" s="1"/>
      <c r="L64" s="1"/>
      <c r="M64" s="1"/>
      <c r="N64" s="1"/>
      <c r="O64" s="1"/>
      <c r="P64" s="1"/>
      <c r="Q64" s="1"/>
      <c r="R64" s="64" t="s">
        <v>106</v>
      </c>
      <c r="S64" s="69">
        <f>1-(Q40/MAX(P40:P63))</f>
        <v>0.38198241026859991</v>
      </c>
      <c r="T64" s="1"/>
      <c r="U64" s="1"/>
      <c r="V64" s="1"/>
      <c r="W64" s="1"/>
      <c r="X64" s="1"/>
      <c r="Y64" s="1"/>
      <c r="Z64" s="1"/>
      <c r="AA64" s="64" t="s">
        <v>106</v>
      </c>
      <c r="AB64" s="69">
        <v>0</v>
      </c>
      <c r="AC64" s="1"/>
      <c r="AD64" s="1"/>
      <c r="AE64" s="1"/>
      <c r="AF64" s="1"/>
      <c r="AG64" s="1"/>
      <c r="AH64" s="1"/>
      <c r="AI64" s="1"/>
      <c r="AJ64" s="64" t="s">
        <v>106</v>
      </c>
      <c r="AK64" s="69">
        <f>1-(AI40/MAX(AH40:AH63))</f>
        <v>0.38895494781344964</v>
      </c>
      <c r="AL64" s="1"/>
      <c r="AM64" s="1"/>
      <c r="AN64" s="1"/>
      <c r="AO64" s="1"/>
      <c r="AP64" s="1"/>
      <c r="AQ64" s="1"/>
      <c r="AR64" s="1"/>
      <c r="AS64" s="1"/>
      <c r="AT64" s="1"/>
    </row>
    <row r="65" spans="1:46" x14ac:dyDescent="0.25">
      <c r="A65" s="1"/>
      <c r="B65" s="1"/>
      <c r="C65" s="1"/>
      <c r="D65" s="1"/>
      <c r="E65" s="1"/>
      <c r="F65" s="1"/>
      <c r="G65" s="1"/>
      <c r="H65" s="1"/>
      <c r="I65" s="1"/>
      <c r="J65" s="1"/>
      <c r="K65" s="1"/>
      <c r="L65" s="1"/>
      <c r="M65" s="1"/>
      <c r="N65" s="1"/>
      <c r="O65" s="1"/>
      <c r="P65" s="1"/>
      <c r="Q65" s="1"/>
      <c r="R65" s="65" t="s">
        <v>109</v>
      </c>
      <c r="S65" s="97">
        <f>MAX(S40:S63)</f>
        <v>26.952249999999999</v>
      </c>
      <c r="T65" s="1"/>
      <c r="U65" s="1"/>
      <c r="V65" s="1"/>
      <c r="W65" s="1"/>
      <c r="X65" s="1"/>
      <c r="Y65" s="1"/>
      <c r="Z65" s="1"/>
      <c r="AA65" s="65" t="s">
        <v>109</v>
      </c>
      <c r="AB65" s="94">
        <f>MAX(AB40:AB63)</f>
        <v>13.248749999999999</v>
      </c>
      <c r="AC65" s="1"/>
      <c r="AD65" s="1"/>
      <c r="AE65" s="1"/>
      <c r="AF65" s="1"/>
      <c r="AG65" s="1"/>
      <c r="AH65" s="1"/>
      <c r="AI65" s="1"/>
      <c r="AJ65" s="65" t="s">
        <v>109</v>
      </c>
      <c r="AK65" s="94">
        <f>MAX(AK40:AK63)</f>
        <v>18.057275000000001</v>
      </c>
      <c r="AL65" s="1"/>
      <c r="AM65" s="1"/>
      <c r="AN65" s="1"/>
      <c r="AO65" s="1"/>
      <c r="AP65" s="1"/>
      <c r="AQ65" s="1"/>
      <c r="AR65" s="1"/>
      <c r="AS65" s="1"/>
      <c r="AT65" s="1"/>
    </row>
    <row r="66" spans="1:46" x14ac:dyDescent="0.25">
      <c r="A66" s="1"/>
      <c r="B66" s="1"/>
      <c r="C66" s="1"/>
      <c r="D66" s="1"/>
      <c r="E66" s="1"/>
      <c r="F66" s="1"/>
      <c r="G66" s="1"/>
      <c r="H66" s="1"/>
      <c r="I66" s="1"/>
      <c r="J66" s="1"/>
      <c r="K66" s="1"/>
      <c r="L66" s="1"/>
      <c r="M66" s="1"/>
      <c r="N66" s="1"/>
      <c r="O66" s="1"/>
      <c r="P66" s="1"/>
      <c r="Q66" s="1"/>
      <c r="R66" s="65" t="s">
        <v>110</v>
      </c>
      <c r="S66" s="97">
        <f>MAX(R40:R63)</f>
        <v>4.14825</v>
      </c>
      <c r="T66" s="1"/>
      <c r="U66" s="1"/>
      <c r="V66" s="1"/>
      <c r="W66" s="1"/>
      <c r="X66" s="1"/>
      <c r="Y66" s="1"/>
      <c r="Z66" s="1"/>
      <c r="AA66" s="65" t="s">
        <v>110</v>
      </c>
      <c r="AB66" s="94">
        <f>MAX(AA40:AA63)</f>
        <v>2.2949999999999999</v>
      </c>
      <c r="AC66" s="1"/>
      <c r="AD66" s="1"/>
      <c r="AE66" s="1"/>
      <c r="AF66" s="1"/>
      <c r="AG66" s="1"/>
      <c r="AH66" s="1"/>
      <c r="AI66" s="1"/>
      <c r="AJ66" s="65" t="s">
        <v>110</v>
      </c>
      <c r="AK66" s="94">
        <f>MAX(AJ40:AJ63)</f>
        <v>2.9431000000000003</v>
      </c>
      <c r="AL66" s="1"/>
      <c r="AM66" s="1"/>
      <c r="AN66" s="1"/>
      <c r="AO66" s="1"/>
      <c r="AP66" s="1"/>
      <c r="AQ66" s="1"/>
      <c r="AR66" s="1"/>
      <c r="AS66" s="1"/>
      <c r="AT66" s="1"/>
    </row>
    <row r="67" spans="1:46" ht="15.75" thickBot="1" x14ac:dyDescent="0.3">
      <c r="A67" s="1"/>
      <c r="B67" s="1"/>
      <c r="C67" s="1"/>
      <c r="D67" s="1"/>
      <c r="E67" s="1"/>
      <c r="F67" s="1"/>
      <c r="G67" s="1"/>
      <c r="H67" s="1"/>
      <c r="I67" s="1"/>
      <c r="J67" s="1"/>
      <c r="K67" s="1"/>
      <c r="L67" s="1"/>
      <c r="M67" s="1"/>
      <c r="N67" s="1"/>
      <c r="O67" s="1"/>
      <c r="P67" s="1"/>
      <c r="Q67" s="1"/>
      <c r="R67" s="66" t="s">
        <v>111</v>
      </c>
      <c r="S67" s="95">
        <f>MIN(R40:R63)</f>
        <v>-3.2139999999999995</v>
      </c>
      <c r="T67" s="1"/>
      <c r="U67" s="1"/>
      <c r="V67" s="1"/>
      <c r="W67" s="1"/>
      <c r="X67" s="1"/>
      <c r="Y67" s="1"/>
      <c r="Z67" s="1"/>
      <c r="AA67" s="66" t="s">
        <v>111</v>
      </c>
      <c r="AB67" s="95">
        <f>MIN(AA40:AA63)</f>
        <v>-2.6399999999999997</v>
      </c>
      <c r="AC67" s="1"/>
      <c r="AD67" s="1"/>
      <c r="AE67" s="1"/>
      <c r="AF67" s="1"/>
      <c r="AG67" s="1"/>
      <c r="AH67" s="1"/>
      <c r="AI67" s="1"/>
      <c r="AJ67" s="66" t="s">
        <v>111</v>
      </c>
      <c r="AK67" s="95">
        <f>MIN(AJ40:AJ63)</f>
        <v>-2.3552</v>
      </c>
      <c r="AL67" s="1"/>
      <c r="AM67" s="1"/>
      <c r="AN67" s="1"/>
      <c r="AO67" s="1"/>
      <c r="AP67" s="1"/>
      <c r="AQ67" s="1"/>
      <c r="AR67" s="1"/>
      <c r="AS67" s="1"/>
      <c r="AT67" s="1"/>
    </row>
    <row r="68" spans="1:4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row>
    <row r="77" spans="1:4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x14ac:dyDescent="0.25">
      <c r="A87" s="1"/>
      <c r="B87" s="1"/>
      <c r="C87" s="1"/>
      <c r="D87" s="1"/>
      <c r="E87" s="1"/>
      <c r="F87" s="1"/>
      <c r="G87" s="1"/>
      <c r="AM87" s="1"/>
      <c r="AN87" s="1"/>
    </row>
  </sheetData>
  <mergeCells count="22">
    <mergeCell ref="AM12:AN12"/>
    <mergeCell ref="M37:N37"/>
    <mergeCell ref="M36:N36"/>
    <mergeCell ref="P36:Q36"/>
    <mergeCell ref="AH36:AI36"/>
    <mergeCell ref="AE36:AG36"/>
    <mergeCell ref="AE37:AG37"/>
    <mergeCell ref="V36:X36"/>
    <mergeCell ref="V37:X37"/>
    <mergeCell ref="AH1:AI1"/>
    <mergeCell ref="AE2:AG2"/>
    <mergeCell ref="AE1:AG1"/>
    <mergeCell ref="Y36:Z36"/>
    <mergeCell ref="D1:E1"/>
    <mergeCell ref="D2:E2"/>
    <mergeCell ref="G1:H1"/>
    <mergeCell ref="V1:W1"/>
    <mergeCell ref="Y1:Z1"/>
    <mergeCell ref="V2:W2"/>
    <mergeCell ref="M1:N1"/>
    <mergeCell ref="P1:Q1"/>
    <mergeCell ref="M2:N2"/>
  </mergeCells>
  <pageMargins left="0.7" right="0.7" top="0.75" bottom="0.75" header="0.3" footer="0.3"/>
  <pageSetup paperSize="9" orientation="portrait" r:id="rId1"/>
  <headerFooter>
    <oddFooter>&amp;C&amp;1#&amp;"Calibri"&amp;12&amp;K008000Internal Use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98C60-A63A-4DE1-A0D9-B7857808C23F}">
  <sheetPr>
    <tabColor theme="4" tint="-0.249977111117893"/>
  </sheetPr>
  <dimension ref="B2:AF35"/>
  <sheetViews>
    <sheetView workbookViewId="0">
      <selection activeCell="BJ24" sqref="BJ24"/>
    </sheetView>
  </sheetViews>
  <sheetFormatPr defaultRowHeight="15" x14ac:dyDescent="0.25"/>
  <cols>
    <col min="2" max="2" width="25.140625" bestFit="1" customWidth="1"/>
    <col min="3" max="3" width="20.7109375" bestFit="1" customWidth="1"/>
    <col min="17" max="17" width="11.28515625" customWidth="1"/>
    <col min="18" max="18" width="6.7109375" customWidth="1"/>
    <col min="19" max="19" width="16.5703125" customWidth="1"/>
  </cols>
  <sheetData>
    <row r="2" spans="2:32" x14ac:dyDescent="0.25">
      <c r="B2" s="135"/>
      <c r="C2" s="141" t="s">
        <v>171</v>
      </c>
      <c r="D2" s="167" t="s">
        <v>172</v>
      </c>
      <c r="E2" s="135"/>
      <c r="F2" s="160" t="s">
        <v>184</v>
      </c>
      <c r="G2" s="160" t="s">
        <v>183</v>
      </c>
      <c r="H2" s="149"/>
      <c r="I2" s="149"/>
      <c r="J2" s="149"/>
      <c r="K2" s="151" t="s">
        <v>182</v>
      </c>
      <c r="M2" s="135"/>
      <c r="N2" s="135"/>
      <c r="O2" s="135"/>
      <c r="P2" s="135"/>
      <c r="Q2" s="135"/>
      <c r="R2" s="135"/>
      <c r="S2" s="151" t="s">
        <v>181</v>
      </c>
      <c r="T2" s="135"/>
    </row>
    <row r="3" spans="2:32" x14ac:dyDescent="0.25">
      <c r="B3" s="166" t="s">
        <v>180</v>
      </c>
      <c r="C3" s="165">
        <v>4.1100000000000003</v>
      </c>
      <c r="D3" s="164">
        <f t="shared" ref="D3:D11" si="0">C3/230*1000</f>
        <v>17.869565217391308</v>
      </c>
      <c r="E3" s="135"/>
      <c r="F3" s="135">
        <f>C3/D3</f>
        <v>0.22999999999999995</v>
      </c>
      <c r="G3" s="135">
        <f>D3/C3</f>
        <v>4.3478260869565224</v>
      </c>
      <c r="H3" s="149"/>
      <c r="I3" s="149"/>
      <c r="J3" s="149"/>
      <c r="K3" s="151" t="s">
        <v>179</v>
      </c>
      <c r="L3" s="135"/>
      <c r="M3" s="135"/>
      <c r="N3" s="135"/>
      <c r="O3" s="135"/>
      <c r="P3" s="135"/>
      <c r="Q3" s="135"/>
      <c r="R3" s="135"/>
      <c r="S3" s="151" t="s">
        <v>178</v>
      </c>
      <c r="T3" s="135"/>
    </row>
    <row r="4" spans="2:32" x14ac:dyDescent="0.25">
      <c r="B4" s="163" t="s">
        <v>177</v>
      </c>
      <c r="C4" s="162">
        <v>4.1100000000000003</v>
      </c>
      <c r="D4" s="157">
        <f t="shared" si="0"/>
        <v>17.869565217391308</v>
      </c>
      <c r="E4" s="135"/>
      <c r="F4" s="135"/>
      <c r="G4" s="135"/>
      <c r="H4" s="149"/>
      <c r="I4" s="149"/>
      <c r="J4" s="149"/>
      <c r="K4" s="135"/>
      <c r="L4" s="135"/>
      <c r="M4" s="135"/>
      <c r="N4" s="135"/>
      <c r="O4" s="135"/>
      <c r="P4" s="135"/>
      <c r="Q4" s="135"/>
      <c r="R4" s="135"/>
      <c r="S4" s="151" t="s">
        <v>176</v>
      </c>
      <c r="T4" s="135"/>
      <c r="U4" s="135"/>
      <c r="V4" s="135"/>
    </row>
    <row r="5" spans="2:32" x14ac:dyDescent="0.25">
      <c r="B5" s="163" t="s">
        <v>175</v>
      </c>
      <c r="C5" s="162">
        <v>4.1100000000000003</v>
      </c>
      <c r="D5" s="157">
        <f t="shared" si="0"/>
        <v>17.869565217391308</v>
      </c>
      <c r="E5" s="135"/>
      <c r="F5" s="135"/>
      <c r="G5" s="135"/>
      <c r="H5" s="149"/>
      <c r="I5" s="149"/>
      <c r="J5" s="149"/>
      <c r="K5" s="135"/>
      <c r="L5" s="135"/>
      <c r="M5" s="135"/>
      <c r="N5" s="135"/>
      <c r="O5" s="135"/>
      <c r="P5" s="135"/>
      <c r="Q5" s="135"/>
      <c r="R5" s="135"/>
      <c r="S5" s="151" t="s">
        <v>174</v>
      </c>
      <c r="T5" s="135"/>
      <c r="U5" s="135"/>
      <c r="V5" s="135"/>
    </row>
    <row r="6" spans="2:32" x14ac:dyDescent="0.25">
      <c r="B6" s="159" t="s">
        <v>173</v>
      </c>
      <c r="C6" s="158">
        <v>3.86</v>
      </c>
      <c r="D6" s="157">
        <f t="shared" si="0"/>
        <v>16.782608695652172</v>
      </c>
      <c r="E6" s="135"/>
      <c r="F6" s="135"/>
      <c r="G6" s="135"/>
      <c r="H6" s="161" t="s">
        <v>172</v>
      </c>
      <c r="I6" s="161" t="s">
        <v>171</v>
      </c>
      <c r="J6" s="149"/>
      <c r="K6" s="135"/>
      <c r="L6" s="151" t="s">
        <v>172</v>
      </c>
      <c r="M6" s="151" t="s">
        <v>171</v>
      </c>
      <c r="N6" s="135"/>
      <c r="O6" s="135"/>
      <c r="P6" s="135"/>
      <c r="Q6" s="135"/>
      <c r="R6" s="135"/>
      <c r="S6" t="s">
        <v>170</v>
      </c>
      <c r="T6" s="135"/>
      <c r="U6" s="135"/>
      <c r="V6" s="135"/>
    </row>
    <row r="7" spans="2:32" x14ac:dyDescent="0.25">
      <c r="B7" s="159" t="s">
        <v>169</v>
      </c>
      <c r="C7" s="158">
        <v>7.36</v>
      </c>
      <c r="D7" s="157">
        <f t="shared" si="0"/>
        <v>32</v>
      </c>
      <c r="E7" s="135"/>
      <c r="F7" s="160" t="s">
        <v>168</v>
      </c>
      <c r="G7" s="150" t="s">
        <v>167</v>
      </c>
      <c r="H7" s="148">
        <v>11</v>
      </c>
      <c r="I7" s="149">
        <f>H7*F3</f>
        <v>2.5299999999999994</v>
      </c>
      <c r="J7" s="148"/>
      <c r="K7" s="151" t="s">
        <v>166</v>
      </c>
      <c r="L7" s="135">
        <v>60</v>
      </c>
      <c r="M7" s="135">
        <f>L7*$F$3</f>
        <v>13.799999999999997</v>
      </c>
      <c r="N7" s="135"/>
      <c r="O7" s="135"/>
      <c r="P7" s="135"/>
      <c r="Q7" s="135"/>
      <c r="R7" s="135"/>
      <c r="S7" t="s">
        <v>165</v>
      </c>
      <c r="T7" s="135"/>
      <c r="U7" s="135"/>
      <c r="V7" s="135"/>
    </row>
    <row r="8" spans="2:32" x14ac:dyDescent="0.25">
      <c r="B8" s="159" t="s">
        <v>64</v>
      </c>
      <c r="C8" s="158">
        <v>12</v>
      </c>
      <c r="D8" s="157">
        <f t="shared" si="0"/>
        <v>52.173913043478258</v>
      </c>
      <c r="E8" s="160"/>
      <c r="F8" s="135"/>
      <c r="G8" s="150" t="s">
        <v>164</v>
      </c>
      <c r="H8" s="148">
        <v>29</v>
      </c>
      <c r="I8" s="149">
        <f>H8*F3</f>
        <v>6.669999999999999</v>
      </c>
      <c r="J8" s="148"/>
      <c r="K8" s="135"/>
      <c r="L8" s="135">
        <v>80</v>
      </c>
      <c r="M8" s="135">
        <f>L8*$F$3</f>
        <v>18.399999999999995</v>
      </c>
      <c r="N8" s="135"/>
      <c r="O8" s="135"/>
      <c r="P8" s="135"/>
      <c r="Q8" s="135"/>
      <c r="R8" s="135"/>
      <c r="S8" s="135"/>
      <c r="T8" s="135"/>
      <c r="U8" s="135"/>
      <c r="V8" s="135"/>
    </row>
    <row r="9" spans="2:32" x14ac:dyDescent="0.25">
      <c r="B9" s="159" t="s">
        <v>163</v>
      </c>
      <c r="C9" s="158">
        <v>3.6</v>
      </c>
      <c r="D9" s="157">
        <f t="shared" si="0"/>
        <v>15.65217391304348</v>
      </c>
      <c r="E9" s="135"/>
      <c r="F9" s="135"/>
      <c r="G9" s="150"/>
      <c r="H9" s="148"/>
      <c r="I9" s="149"/>
      <c r="J9" s="148"/>
      <c r="K9" s="135"/>
      <c r="L9" s="135">
        <v>100</v>
      </c>
      <c r="M9" s="135">
        <f>L9*$F$3</f>
        <v>22.999999999999996</v>
      </c>
      <c r="N9" s="135"/>
      <c r="O9" s="135"/>
      <c r="P9" s="135"/>
      <c r="Q9" s="135"/>
      <c r="R9" s="135"/>
      <c r="S9" s="135"/>
      <c r="T9" s="135"/>
    </row>
    <row r="10" spans="2:32" x14ac:dyDescent="0.25">
      <c r="B10" s="156" t="s">
        <v>66</v>
      </c>
      <c r="C10" s="155">
        <v>3.6</v>
      </c>
      <c r="D10" s="152">
        <f t="shared" si="0"/>
        <v>15.65217391304348</v>
      </c>
      <c r="E10" s="135"/>
      <c r="F10" s="135"/>
      <c r="G10" s="150"/>
      <c r="H10" s="148"/>
      <c r="I10" s="149"/>
      <c r="J10" s="148"/>
      <c r="K10" s="135"/>
      <c r="L10" s="135"/>
      <c r="M10" s="135"/>
      <c r="N10" s="135"/>
      <c r="O10" s="135"/>
      <c r="P10" s="135"/>
      <c r="Q10" s="135"/>
      <c r="R10" s="135"/>
      <c r="S10" s="151" t="s">
        <v>162</v>
      </c>
      <c r="T10" s="135"/>
    </row>
    <row r="11" spans="2:32" x14ac:dyDescent="0.25">
      <c r="B11" s="154" t="s">
        <v>161</v>
      </c>
      <c r="C11" s="153">
        <v>21.8</v>
      </c>
      <c r="D11" s="152">
        <f t="shared" si="0"/>
        <v>94.782608695652172</v>
      </c>
      <c r="E11" s="135"/>
      <c r="F11" s="135"/>
      <c r="G11" s="150"/>
      <c r="H11" s="148"/>
      <c r="I11" s="149"/>
      <c r="J11" s="148"/>
      <c r="K11" s="135"/>
      <c r="L11" s="135"/>
      <c r="M11" s="135"/>
      <c r="N11" s="135"/>
      <c r="O11" s="135"/>
      <c r="P11" s="135"/>
      <c r="Q11" s="135"/>
      <c r="R11" s="135"/>
      <c r="S11" s="151"/>
      <c r="T11" s="135"/>
    </row>
    <row r="12" spans="2:32" x14ac:dyDescent="0.25">
      <c r="B12" s="135"/>
      <c r="C12" s="135"/>
      <c r="D12" s="135"/>
      <c r="E12" s="135"/>
      <c r="F12" s="135"/>
      <c r="G12" s="150"/>
      <c r="H12" s="148"/>
      <c r="I12" s="149"/>
      <c r="J12" s="148"/>
      <c r="K12" s="135"/>
      <c r="L12" s="135"/>
      <c r="M12" s="135"/>
      <c r="N12" s="135"/>
      <c r="O12" s="135"/>
      <c r="P12" s="135"/>
      <c r="Q12" s="135"/>
      <c r="R12" s="135"/>
      <c r="S12" s="135"/>
      <c r="T12" s="135"/>
    </row>
    <row r="13" spans="2:32" ht="75" x14ac:dyDescent="0.25">
      <c r="B13" s="135"/>
      <c r="C13" s="141" t="s">
        <v>160</v>
      </c>
      <c r="D13" s="139" t="s">
        <v>129</v>
      </c>
      <c r="E13" s="139" t="s">
        <v>153</v>
      </c>
      <c r="F13" s="139" t="s">
        <v>152</v>
      </c>
      <c r="G13" s="138" t="s">
        <v>151</v>
      </c>
      <c r="H13" s="139" t="s">
        <v>150</v>
      </c>
      <c r="I13" s="139" t="s">
        <v>149</v>
      </c>
      <c r="J13" s="139" t="s">
        <v>148</v>
      </c>
      <c r="K13" s="139" t="s">
        <v>147</v>
      </c>
      <c r="L13" s="140" t="s">
        <v>146</v>
      </c>
      <c r="M13" s="139" t="s">
        <v>145</v>
      </c>
      <c r="N13" s="139" t="s">
        <v>144</v>
      </c>
      <c r="O13" s="139" t="s">
        <v>143</v>
      </c>
      <c r="P13" s="139" t="s">
        <v>142</v>
      </c>
      <c r="S13" s="140" t="s">
        <v>157</v>
      </c>
      <c r="T13" s="139" t="s">
        <v>129</v>
      </c>
      <c r="U13" s="139" t="s">
        <v>153</v>
      </c>
      <c r="V13" s="139" t="s">
        <v>152</v>
      </c>
      <c r="W13" s="138" t="s">
        <v>151</v>
      </c>
      <c r="X13" s="139" t="s">
        <v>150</v>
      </c>
      <c r="Y13" s="139" t="s">
        <v>149</v>
      </c>
      <c r="Z13" s="139" t="s">
        <v>148</v>
      </c>
      <c r="AA13" s="139" t="s">
        <v>147</v>
      </c>
      <c r="AB13" s="140" t="s">
        <v>146</v>
      </c>
      <c r="AC13" s="139" t="s">
        <v>145</v>
      </c>
      <c r="AD13" s="139" t="s">
        <v>144</v>
      </c>
      <c r="AE13" s="139" t="s">
        <v>143</v>
      </c>
      <c r="AF13" s="139" t="s">
        <v>142</v>
      </c>
    </row>
    <row r="14" spans="2:32" x14ac:dyDescent="0.25">
      <c r="B14" s="135"/>
      <c r="C14" s="137" t="s">
        <v>141</v>
      </c>
      <c r="D14" s="137">
        <f t="shared" ref="D14:N14" si="1">$C$3</f>
        <v>4.1100000000000003</v>
      </c>
      <c r="E14" s="136">
        <f t="shared" si="1"/>
        <v>4.1100000000000003</v>
      </c>
      <c r="F14" s="137">
        <f t="shared" si="1"/>
        <v>4.1100000000000003</v>
      </c>
      <c r="G14" s="137">
        <f t="shared" si="1"/>
        <v>4.1100000000000003</v>
      </c>
      <c r="H14" s="137">
        <f t="shared" si="1"/>
        <v>4.1100000000000003</v>
      </c>
      <c r="I14" s="137">
        <f t="shared" si="1"/>
        <v>4.1100000000000003</v>
      </c>
      <c r="J14" s="137">
        <f t="shared" si="1"/>
        <v>4.1100000000000003</v>
      </c>
      <c r="K14" s="137">
        <f t="shared" si="1"/>
        <v>4.1100000000000003</v>
      </c>
      <c r="L14" s="137">
        <f t="shared" si="1"/>
        <v>4.1100000000000003</v>
      </c>
      <c r="M14" s="137">
        <f t="shared" si="1"/>
        <v>4.1100000000000003</v>
      </c>
      <c r="N14" s="137">
        <f t="shared" si="1"/>
        <v>4.1100000000000003</v>
      </c>
      <c r="O14" s="137">
        <v>7</v>
      </c>
      <c r="P14" s="137">
        <f>$C$3</f>
        <v>4.1100000000000003</v>
      </c>
      <c r="S14" s="130" t="s">
        <v>138</v>
      </c>
      <c r="T14" s="131">
        <v>4.1100000000000003</v>
      </c>
      <c r="U14" s="131">
        <v>7.21</v>
      </c>
      <c r="V14" s="131">
        <v>10.31</v>
      </c>
      <c r="W14" s="131">
        <v>6.76</v>
      </c>
      <c r="X14" s="131">
        <v>13.04</v>
      </c>
      <c r="Y14" s="132" t="s">
        <v>123</v>
      </c>
      <c r="Z14" s="131">
        <v>9.7899999999999991</v>
      </c>
      <c r="AA14" s="131">
        <v>7.23</v>
      </c>
      <c r="AB14" s="131">
        <v>12.28</v>
      </c>
      <c r="AC14" s="131">
        <v>18.559999999999999</v>
      </c>
      <c r="AD14" s="132" t="s">
        <v>123</v>
      </c>
      <c r="AE14" s="131">
        <v>15.31</v>
      </c>
      <c r="AF14" s="131">
        <v>12.75</v>
      </c>
    </row>
    <row r="15" spans="2:32" x14ac:dyDescent="0.25">
      <c r="B15" s="135"/>
      <c r="C15" s="137" t="s">
        <v>140</v>
      </c>
      <c r="D15" s="131">
        <v>0</v>
      </c>
      <c r="E15" s="137">
        <f>$C$7</f>
        <v>7.36</v>
      </c>
      <c r="F15" s="137">
        <f>2*$C$7</f>
        <v>14.72</v>
      </c>
      <c r="G15" s="138">
        <f>$I$7</f>
        <v>2.5299999999999994</v>
      </c>
      <c r="H15" s="137">
        <f>$I$7+$C$7</f>
        <v>9.89</v>
      </c>
      <c r="I15" s="137">
        <f>$I$7+$C$7-$C$10</f>
        <v>6.2900000000000009</v>
      </c>
      <c r="J15" s="136">
        <f>$I$7+$C$7-$C$9</f>
        <v>6.2900000000000009</v>
      </c>
      <c r="K15" s="136">
        <f>$I$7+$C$7-$C$10-$C$9</f>
        <v>2.6900000000000008</v>
      </c>
      <c r="L15" s="138">
        <f>$I$8</f>
        <v>6.669999999999999</v>
      </c>
      <c r="M15" s="137">
        <f>$I$8+$C$7</f>
        <v>14.03</v>
      </c>
      <c r="N15" s="137">
        <f>$I$8+$C$7-$C$10</f>
        <v>10.43</v>
      </c>
      <c r="O15" s="136">
        <f>7+5-5</f>
        <v>7</v>
      </c>
      <c r="P15" s="136">
        <f>$I$8+$C$7-$C$10-$C$9</f>
        <v>6.83</v>
      </c>
      <c r="S15" s="130" t="s">
        <v>137</v>
      </c>
      <c r="T15" s="129">
        <f t="shared" ref="T15:AF15" si="2">T14*$G$3</f>
        <v>17.869565217391308</v>
      </c>
      <c r="U15" s="129">
        <f t="shared" si="2"/>
        <v>31.347826086956527</v>
      </c>
      <c r="V15" s="129">
        <f t="shared" si="2"/>
        <v>44.826086956521749</v>
      </c>
      <c r="W15" s="129">
        <f t="shared" si="2"/>
        <v>29.39130434782609</v>
      </c>
      <c r="X15" s="129">
        <f t="shared" si="2"/>
        <v>56.695652173913047</v>
      </c>
      <c r="Y15" s="129" t="e">
        <f t="shared" si="2"/>
        <v>#VALUE!</v>
      </c>
      <c r="Z15" s="129">
        <f t="shared" si="2"/>
        <v>42.565217391304351</v>
      </c>
      <c r="AA15" s="129">
        <f t="shared" si="2"/>
        <v>31.434782608695659</v>
      </c>
      <c r="AB15" s="129">
        <f t="shared" si="2"/>
        <v>53.391304347826093</v>
      </c>
      <c r="AC15" s="147">
        <f t="shared" si="2"/>
        <v>80.695652173913047</v>
      </c>
      <c r="AD15" s="129" t="e">
        <f t="shared" si="2"/>
        <v>#VALUE!</v>
      </c>
      <c r="AE15" s="147">
        <f t="shared" si="2"/>
        <v>66.565217391304358</v>
      </c>
      <c r="AF15" s="129">
        <f t="shared" si="2"/>
        <v>55.434782608695663</v>
      </c>
    </row>
    <row r="16" spans="2:32" x14ac:dyDescent="0.25">
      <c r="B16" s="135"/>
      <c r="C16" s="130" t="s">
        <v>139</v>
      </c>
      <c r="D16" s="131">
        <f t="shared" ref="D16:P16" si="3">SUM(D14:D15)</f>
        <v>4.1100000000000003</v>
      </c>
      <c r="E16" s="131">
        <f t="shared" si="3"/>
        <v>11.47</v>
      </c>
      <c r="F16" s="131">
        <f t="shared" si="3"/>
        <v>18.830000000000002</v>
      </c>
      <c r="G16" s="131">
        <f t="shared" si="3"/>
        <v>6.64</v>
      </c>
      <c r="H16" s="131">
        <f t="shared" si="3"/>
        <v>14</v>
      </c>
      <c r="I16" s="131">
        <f t="shared" si="3"/>
        <v>10.400000000000002</v>
      </c>
      <c r="J16" s="131">
        <f t="shared" si="3"/>
        <v>10.400000000000002</v>
      </c>
      <c r="K16" s="131">
        <f t="shared" si="3"/>
        <v>6.8000000000000007</v>
      </c>
      <c r="L16" s="131">
        <f t="shared" si="3"/>
        <v>10.78</v>
      </c>
      <c r="M16" s="131">
        <f t="shared" si="3"/>
        <v>18.14</v>
      </c>
      <c r="N16" s="131">
        <f t="shared" si="3"/>
        <v>14.54</v>
      </c>
      <c r="O16" s="131">
        <f t="shared" si="3"/>
        <v>14</v>
      </c>
      <c r="P16" s="131">
        <f t="shared" si="3"/>
        <v>10.940000000000001</v>
      </c>
      <c r="S16" s="145" t="s">
        <v>156</v>
      </c>
      <c r="T16" s="24" t="s">
        <v>123</v>
      </c>
      <c r="U16" s="24" t="s">
        <v>123</v>
      </c>
      <c r="V16" s="24" t="s">
        <v>123</v>
      </c>
      <c r="W16" s="24" t="s">
        <v>123</v>
      </c>
      <c r="X16" s="24" t="s">
        <v>123</v>
      </c>
      <c r="Y16" s="24" t="s">
        <v>123</v>
      </c>
      <c r="Z16" s="24" t="s">
        <v>123</v>
      </c>
      <c r="AA16" s="24" t="s">
        <v>123</v>
      </c>
      <c r="AB16" s="24" t="s">
        <v>123</v>
      </c>
      <c r="AC16" s="146">
        <f>1-60/AC15</f>
        <v>0.25646551724137934</v>
      </c>
      <c r="AD16" s="24" t="s">
        <v>123</v>
      </c>
      <c r="AE16" s="146">
        <f>1-60/AE15</f>
        <v>9.8628347485303913E-2</v>
      </c>
      <c r="AF16" s="24" t="s">
        <v>123</v>
      </c>
    </row>
    <row r="17" spans="2:32" x14ac:dyDescent="0.25">
      <c r="B17" s="135"/>
      <c r="C17" s="130" t="s">
        <v>137</v>
      </c>
      <c r="D17" s="129">
        <f t="shared" ref="D17:P17" si="4">D16*$G$3</f>
        <v>17.869565217391308</v>
      </c>
      <c r="E17" s="134">
        <f t="shared" si="4"/>
        <v>49.869565217391312</v>
      </c>
      <c r="F17" s="134">
        <f t="shared" si="4"/>
        <v>81.869565217391326</v>
      </c>
      <c r="G17" s="133">
        <f t="shared" si="4"/>
        <v>28.869565217391308</v>
      </c>
      <c r="H17" s="134">
        <f t="shared" si="4"/>
        <v>60.869565217391312</v>
      </c>
      <c r="I17" s="133">
        <f t="shared" si="4"/>
        <v>45.217391304347842</v>
      </c>
      <c r="J17" s="133">
        <f t="shared" si="4"/>
        <v>45.217391304347842</v>
      </c>
      <c r="K17" s="133">
        <f t="shared" si="4"/>
        <v>29.565217391304355</v>
      </c>
      <c r="L17" s="133">
        <f t="shared" si="4"/>
        <v>46.869565217391312</v>
      </c>
      <c r="M17" s="134">
        <f t="shared" si="4"/>
        <v>78.869565217391312</v>
      </c>
      <c r="N17" s="134">
        <f t="shared" si="4"/>
        <v>63.217391304347835</v>
      </c>
      <c r="O17" s="134">
        <f t="shared" si="4"/>
        <v>60.869565217391312</v>
      </c>
      <c r="P17" s="134">
        <f t="shared" si="4"/>
        <v>47.565217391304358</v>
      </c>
      <c r="S17" s="145" t="s">
        <v>155</v>
      </c>
      <c r="T17" s="24" t="s">
        <v>123</v>
      </c>
      <c r="U17" s="24" t="s">
        <v>123</v>
      </c>
      <c r="V17" s="24" t="s">
        <v>123</v>
      </c>
      <c r="W17" s="24" t="s">
        <v>123</v>
      </c>
      <c r="X17" s="24" t="s">
        <v>123</v>
      </c>
      <c r="Y17" s="24" t="s">
        <v>123</v>
      </c>
      <c r="Z17" s="24" t="s">
        <v>123</v>
      </c>
      <c r="AA17" s="24" t="s">
        <v>123</v>
      </c>
      <c r="AB17" s="24" t="s">
        <v>123</v>
      </c>
      <c r="AC17" s="144">
        <f>AC14*(1-AC16)</f>
        <v>13.799999999999999</v>
      </c>
      <c r="AD17" s="24" t="s">
        <v>123</v>
      </c>
      <c r="AE17" s="144">
        <f>AE14-(AE14*AE16)</f>
        <v>13.799999999999997</v>
      </c>
      <c r="AF17" s="24" t="s">
        <v>123</v>
      </c>
    </row>
    <row r="18" spans="2:32" x14ac:dyDescent="0.25">
      <c r="B18" s="135"/>
      <c r="C18" s="130" t="s">
        <v>138</v>
      </c>
      <c r="D18" s="131">
        <v>4.1100000000000003</v>
      </c>
      <c r="E18" s="131">
        <v>7.21</v>
      </c>
      <c r="F18" s="131">
        <v>10.31</v>
      </c>
      <c r="G18" s="131">
        <v>6.76</v>
      </c>
      <c r="H18" s="131">
        <v>13.04</v>
      </c>
      <c r="I18" s="132" t="s">
        <v>123</v>
      </c>
      <c r="J18" s="131">
        <v>9.7899999999999991</v>
      </c>
      <c r="K18" s="131">
        <v>7.23</v>
      </c>
      <c r="L18" s="131">
        <v>12.28</v>
      </c>
      <c r="M18" s="131">
        <v>18.559999999999999</v>
      </c>
      <c r="N18" s="132" t="s">
        <v>123</v>
      </c>
      <c r="O18" s="131">
        <v>15.31</v>
      </c>
      <c r="P18" s="131">
        <v>12.75</v>
      </c>
    </row>
    <row r="19" spans="2:32" x14ac:dyDescent="0.25">
      <c r="B19" s="135"/>
      <c r="C19" s="130" t="s">
        <v>137</v>
      </c>
      <c r="D19" s="129">
        <f t="shared" ref="D19:P19" si="5">D18*$G$3</f>
        <v>17.869565217391308</v>
      </c>
      <c r="E19" s="129">
        <f t="shared" si="5"/>
        <v>31.347826086956527</v>
      </c>
      <c r="F19" s="129">
        <f t="shared" si="5"/>
        <v>44.826086956521749</v>
      </c>
      <c r="G19" s="129">
        <f t="shared" si="5"/>
        <v>29.39130434782609</v>
      </c>
      <c r="H19" s="129">
        <f t="shared" si="5"/>
        <v>56.695652173913047</v>
      </c>
      <c r="I19" s="129" t="e">
        <f t="shared" si="5"/>
        <v>#VALUE!</v>
      </c>
      <c r="J19" s="129">
        <f t="shared" si="5"/>
        <v>42.565217391304351</v>
      </c>
      <c r="K19" s="129">
        <f t="shared" si="5"/>
        <v>31.434782608695659</v>
      </c>
      <c r="L19" s="129">
        <f t="shared" si="5"/>
        <v>53.391304347826093</v>
      </c>
      <c r="M19" s="147">
        <f t="shared" si="5"/>
        <v>80.695652173913047</v>
      </c>
      <c r="N19" s="129" t="e">
        <f t="shared" si="5"/>
        <v>#VALUE!</v>
      </c>
      <c r="O19" s="147">
        <f t="shared" si="5"/>
        <v>66.565217391304358</v>
      </c>
      <c r="P19" s="129">
        <f t="shared" si="5"/>
        <v>55.434782608695663</v>
      </c>
    </row>
    <row r="20" spans="2:32" x14ac:dyDescent="0.25">
      <c r="B20" s="135"/>
      <c r="C20" s="135"/>
      <c r="D20" s="135"/>
      <c r="E20" s="135"/>
      <c r="F20" s="135"/>
      <c r="G20" s="135"/>
      <c r="S20" t="s">
        <v>159</v>
      </c>
    </row>
    <row r="21" spans="2:32" ht="75" x14ac:dyDescent="0.25">
      <c r="B21" s="135"/>
      <c r="C21" s="141" t="s">
        <v>158</v>
      </c>
      <c r="D21" s="139" t="s">
        <v>129</v>
      </c>
      <c r="E21" s="139" t="s">
        <v>153</v>
      </c>
      <c r="F21" s="139" t="s">
        <v>152</v>
      </c>
      <c r="G21" s="138" t="s">
        <v>151</v>
      </c>
      <c r="H21" s="139" t="s">
        <v>150</v>
      </c>
      <c r="I21" s="139" t="s">
        <v>149</v>
      </c>
      <c r="J21" s="139" t="s">
        <v>148</v>
      </c>
      <c r="K21" s="139" t="s">
        <v>147</v>
      </c>
      <c r="L21" s="140" t="s">
        <v>146</v>
      </c>
      <c r="M21" s="139" t="s">
        <v>145</v>
      </c>
      <c r="N21" s="139" t="s">
        <v>144</v>
      </c>
      <c r="O21" s="139" t="s">
        <v>143</v>
      </c>
      <c r="P21" s="139" t="s">
        <v>142</v>
      </c>
      <c r="S21" s="140" t="s">
        <v>157</v>
      </c>
      <c r="T21" s="139" t="s">
        <v>129</v>
      </c>
      <c r="U21" s="139" t="s">
        <v>153</v>
      </c>
      <c r="V21" s="139" t="s">
        <v>152</v>
      </c>
      <c r="W21" s="138" t="s">
        <v>151</v>
      </c>
      <c r="X21" s="139" t="s">
        <v>150</v>
      </c>
      <c r="Y21" s="139" t="s">
        <v>149</v>
      </c>
      <c r="Z21" s="139" t="s">
        <v>148</v>
      </c>
      <c r="AA21" s="139" t="s">
        <v>147</v>
      </c>
      <c r="AB21" s="140" t="s">
        <v>146</v>
      </c>
      <c r="AC21" s="139" t="s">
        <v>145</v>
      </c>
      <c r="AD21" s="139" t="s">
        <v>144</v>
      </c>
      <c r="AE21" s="139" t="s">
        <v>143</v>
      </c>
      <c r="AF21" s="139" t="s">
        <v>142</v>
      </c>
    </row>
    <row r="22" spans="2:32" x14ac:dyDescent="0.25">
      <c r="B22" s="135"/>
      <c r="C22" s="137" t="s">
        <v>141</v>
      </c>
      <c r="D22" s="137">
        <f t="shared" ref="D22:P22" si="6">$C$4</f>
        <v>4.1100000000000003</v>
      </c>
      <c r="E22" s="137">
        <f t="shared" si="6"/>
        <v>4.1100000000000003</v>
      </c>
      <c r="F22" s="137">
        <f t="shared" si="6"/>
        <v>4.1100000000000003</v>
      </c>
      <c r="G22" s="137">
        <f t="shared" si="6"/>
        <v>4.1100000000000003</v>
      </c>
      <c r="H22" s="137">
        <f t="shared" si="6"/>
        <v>4.1100000000000003</v>
      </c>
      <c r="I22" s="137">
        <f t="shared" si="6"/>
        <v>4.1100000000000003</v>
      </c>
      <c r="J22" s="137">
        <f t="shared" si="6"/>
        <v>4.1100000000000003</v>
      </c>
      <c r="K22" s="137">
        <f t="shared" si="6"/>
        <v>4.1100000000000003</v>
      </c>
      <c r="L22" s="137">
        <f t="shared" si="6"/>
        <v>4.1100000000000003</v>
      </c>
      <c r="M22" s="137">
        <f t="shared" si="6"/>
        <v>4.1100000000000003</v>
      </c>
      <c r="N22" s="137">
        <f t="shared" si="6"/>
        <v>4.1100000000000003</v>
      </c>
      <c r="O22" s="137">
        <f t="shared" si="6"/>
        <v>4.1100000000000003</v>
      </c>
      <c r="P22" s="137">
        <f t="shared" si="6"/>
        <v>4.1100000000000003</v>
      </c>
      <c r="S22" s="130" t="s">
        <v>138</v>
      </c>
      <c r="T22" s="131">
        <v>1.8</v>
      </c>
      <c r="U22" s="131">
        <v>3.94</v>
      </c>
      <c r="V22" s="131">
        <v>5.64</v>
      </c>
      <c r="W22" s="131">
        <v>3.14</v>
      </c>
      <c r="X22" s="131">
        <v>6.55</v>
      </c>
      <c r="Y22" s="132" t="s">
        <v>123</v>
      </c>
      <c r="Z22" s="131">
        <v>4.6399999999999997</v>
      </c>
      <c r="AA22" s="131">
        <v>3.38</v>
      </c>
      <c r="AB22" s="131">
        <v>8.66</v>
      </c>
      <c r="AC22" s="131">
        <v>12.07</v>
      </c>
      <c r="AD22" s="132" t="s">
        <v>123</v>
      </c>
      <c r="AE22" s="131">
        <v>10.16</v>
      </c>
      <c r="AF22" s="131">
        <v>8.9</v>
      </c>
    </row>
    <row r="23" spans="2:32" x14ac:dyDescent="0.25">
      <c r="B23" s="135"/>
      <c r="C23" s="137" t="s">
        <v>140</v>
      </c>
      <c r="D23" s="131">
        <v>0</v>
      </c>
      <c r="E23" s="137">
        <f>$C$7</f>
        <v>7.36</v>
      </c>
      <c r="F23" s="137">
        <f>2*$C$7</f>
        <v>14.72</v>
      </c>
      <c r="G23" s="138">
        <f>$I$7</f>
        <v>2.5299999999999994</v>
      </c>
      <c r="H23" s="137">
        <f>$I$7+$C$7</f>
        <v>9.89</v>
      </c>
      <c r="I23" s="137">
        <f>$I$7+$C$7-$C$10</f>
        <v>6.2900000000000009</v>
      </c>
      <c r="J23" s="136">
        <f>$I$7+$C$7-$C$9</f>
        <v>6.2900000000000009</v>
      </c>
      <c r="K23" s="136">
        <f>$I$7+$C$7-$C$10-$C$9</f>
        <v>2.6900000000000008</v>
      </c>
      <c r="L23" s="138">
        <f>$I$8</f>
        <v>6.669999999999999</v>
      </c>
      <c r="M23" s="137">
        <f>$I$8+$C$7</f>
        <v>14.03</v>
      </c>
      <c r="N23" s="137">
        <f>$I$8+$C$7-$C$10</f>
        <v>10.43</v>
      </c>
      <c r="O23" s="136">
        <f>$I$8+$C$7-$C$9</f>
        <v>10.43</v>
      </c>
      <c r="P23" s="136">
        <f>$I$8+$C$7-$C$10-$C$9</f>
        <v>6.83</v>
      </c>
      <c r="S23" s="130" t="s">
        <v>137</v>
      </c>
      <c r="T23" s="129">
        <f t="shared" ref="T23:AF23" si="7">T22*$G$3</f>
        <v>7.8260869565217401</v>
      </c>
      <c r="U23" s="129">
        <f t="shared" si="7"/>
        <v>17.130434782608699</v>
      </c>
      <c r="V23" s="129">
        <f t="shared" si="7"/>
        <v>24.521739130434785</v>
      </c>
      <c r="W23" s="129">
        <f t="shared" si="7"/>
        <v>13.65217391304348</v>
      </c>
      <c r="X23" s="129">
        <f t="shared" si="7"/>
        <v>28.478260869565222</v>
      </c>
      <c r="Y23" s="129" t="e">
        <f t="shared" si="7"/>
        <v>#VALUE!</v>
      </c>
      <c r="Z23" s="129">
        <f t="shared" si="7"/>
        <v>20.173913043478262</v>
      </c>
      <c r="AA23" s="129">
        <f t="shared" si="7"/>
        <v>14.695652173913045</v>
      </c>
      <c r="AB23" s="129">
        <f t="shared" si="7"/>
        <v>37.652173913043484</v>
      </c>
      <c r="AC23" s="129">
        <f t="shared" si="7"/>
        <v>52.478260869565226</v>
      </c>
      <c r="AD23" s="129" t="e">
        <f t="shared" si="7"/>
        <v>#VALUE!</v>
      </c>
      <c r="AE23" s="129">
        <f t="shared" si="7"/>
        <v>44.173913043478265</v>
      </c>
      <c r="AF23" s="129">
        <f t="shared" si="7"/>
        <v>38.695652173913054</v>
      </c>
    </row>
    <row r="24" spans="2:32" x14ac:dyDescent="0.25">
      <c r="B24" s="135"/>
      <c r="C24" s="130" t="s">
        <v>139</v>
      </c>
      <c r="D24" s="131">
        <f t="shared" ref="D24:P24" si="8">SUM(D22:D23)</f>
        <v>4.1100000000000003</v>
      </c>
      <c r="E24" s="131">
        <f t="shared" si="8"/>
        <v>11.47</v>
      </c>
      <c r="F24" s="131">
        <f t="shared" si="8"/>
        <v>18.830000000000002</v>
      </c>
      <c r="G24" s="131">
        <f t="shared" si="8"/>
        <v>6.64</v>
      </c>
      <c r="H24" s="131">
        <f t="shared" si="8"/>
        <v>14</v>
      </c>
      <c r="I24" s="131">
        <f t="shared" si="8"/>
        <v>10.400000000000002</v>
      </c>
      <c r="J24" s="131">
        <f t="shared" si="8"/>
        <v>10.400000000000002</v>
      </c>
      <c r="K24" s="131">
        <f t="shared" si="8"/>
        <v>6.8000000000000007</v>
      </c>
      <c r="L24" s="131">
        <f t="shared" si="8"/>
        <v>10.78</v>
      </c>
      <c r="M24" s="131">
        <f t="shared" si="8"/>
        <v>18.14</v>
      </c>
      <c r="N24" s="131">
        <f t="shared" si="8"/>
        <v>14.54</v>
      </c>
      <c r="O24" s="131">
        <f t="shared" si="8"/>
        <v>14.54</v>
      </c>
      <c r="P24" s="131">
        <f t="shared" si="8"/>
        <v>10.940000000000001</v>
      </c>
      <c r="S24" s="145" t="s">
        <v>156</v>
      </c>
      <c r="T24" s="24" t="s">
        <v>123</v>
      </c>
      <c r="U24" s="24" t="s">
        <v>123</v>
      </c>
      <c r="V24" s="24" t="s">
        <v>123</v>
      </c>
      <c r="W24" s="24" t="s">
        <v>123</v>
      </c>
      <c r="X24" s="24" t="s">
        <v>123</v>
      </c>
      <c r="Y24" s="24" t="s">
        <v>123</v>
      </c>
      <c r="Z24" s="24" t="s">
        <v>123</v>
      </c>
      <c r="AA24" s="24" t="s">
        <v>123</v>
      </c>
      <c r="AB24" s="24" t="s">
        <v>123</v>
      </c>
      <c r="AC24" s="146">
        <f>1-60/AC23</f>
        <v>-0.14333057166528573</v>
      </c>
      <c r="AD24" s="24" t="s">
        <v>123</v>
      </c>
      <c r="AE24" s="146">
        <f>1-60/AE23</f>
        <v>-0.35826771653543288</v>
      </c>
      <c r="AF24" s="24" t="s">
        <v>123</v>
      </c>
    </row>
    <row r="25" spans="2:32" x14ac:dyDescent="0.25">
      <c r="B25" s="135"/>
      <c r="C25" s="130" t="s">
        <v>137</v>
      </c>
      <c r="D25" s="129">
        <f t="shared" ref="D25:P25" si="9">D24*$G$3</f>
        <v>17.869565217391308</v>
      </c>
      <c r="E25" s="133">
        <f t="shared" si="9"/>
        <v>49.869565217391312</v>
      </c>
      <c r="F25" s="134">
        <f t="shared" si="9"/>
        <v>81.869565217391326</v>
      </c>
      <c r="G25" s="133">
        <f t="shared" si="9"/>
        <v>28.869565217391308</v>
      </c>
      <c r="H25" s="133">
        <f t="shared" si="9"/>
        <v>60.869565217391312</v>
      </c>
      <c r="I25" s="133">
        <f t="shared" si="9"/>
        <v>45.217391304347842</v>
      </c>
      <c r="J25" s="133">
        <f t="shared" si="9"/>
        <v>45.217391304347842</v>
      </c>
      <c r="K25" s="133">
        <f t="shared" si="9"/>
        <v>29.565217391304355</v>
      </c>
      <c r="L25" s="133">
        <f t="shared" si="9"/>
        <v>46.869565217391312</v>
      </c>
      <c r="M25" s="134">
        <f t="shared" si="9"/>
        <v>78.869565217391312</v>
      </c>
      <c r="N25" s="134">
        <f t="shared" si="9"/>
        <v>63.217391304347835</v>
      </c>
      <c r="O25" s="134">
        <f t="shared" si="9"/>
        <v>63.217391304347835</v>
      </c>
      <c r="P25" s="133">
        <f t="shared" si="9"/>
        <v>47.565217391304358</v>
      </c>
      <c r="S25" s="145" t="s">
        <v>155</v>
      </c>
      <c r="T25" s="24" t="s">
        <v>123</v>
      </c>
      <c r="U25" s="24" t="s">
        <v>123</v>
      </c>
      <c r="V25" s="24" t="s">
        <v>123</v>
      </c>
      <c r="W25" s="24" t="s">
        <v>123</v>
      </c>
      <c r="X25" s="24" t="s">
        <v>123</v>
      </c>
      <c r="Y25" s="24" t="s">
        <v>123</v>
      </c>
      <c r="Z25" s="24" t="s">
        <v>123</v>
      </c>
      <c r="AA25" s="24" t="s">
        <v>123</v>
      </c>
      <c r="AB25" s="24" t="s">
        <v>123</v>
      </c>
      <c r="AC25" s="144">
        <f>AC22*(1-AC24)</f>
        <v>13.799999999999999</v>
      </c>
      <c r="AD25" s="24" t="s">
        <v>123</v>
      </c>
      <c r="AE25" s="144">
        <f>AE22-(AE22*AE24)</f>
        <v>13.799999999999997</v>
      </c>
      <c r="AF25" s="24" t="s">
        <v>123</v>
      </c>
    </row>
    <row r="26" spans="2:32" x14ac:dyDescent="0.25">
      <c r="B26" s="135"/>
      <c r="C26" s="130" t="s">
        <v>138</v>
      </c>
      <c r="D26" s="131">
        <v>4.1100000000000003</v>
      </c>
      <c r="E26" s="131">
        <v>7.21</v>
      </c>
      <c r="F26" s="131">
        <v>10.31</v>
      </c>
      <c r="G26" s="131">
        <v>6.76</v>
      </c>
      <c r="H26" s="131">
        <v>13.04</v>
      </c>
      <c r="I26" s="132" t="s">
        <v>123</v>
      </c>
      <c r="J26" s="131">
        <v>9.7899999999999991</v>
      </c>
      <c r="K26" s="131">
        <v>7.23</v>
      </c>
      <c r="L26" s="131">
        <v>12.28</v>
      </c>
      <c r="M26" s="131">
        <v>18.559999999999999</v>
      </c>
      <c r="N26" s="132" t="s">
        <v>123</v>
      </c>
      <c r="O26" s="131">
        <v>15.31</v>
      </c>
      <c r="P26" s="131">
        <v>12.75</v>
      </c>
    </row>
    <row r="27" spans="2:32" x14ac:dyDescent="0.25">
      <c r="B27" s="135"/>
      <c r="C27" s="130" t="s">
        <v>137</v>
      </c>
      <c r="D27" s="129">
        <f t="shared" ref="D27:P27" si="10">D26*$G$3</f>
        <v>17.869565217391308</v>
      </c>
      <c r="E27" s="129">
        <f t="shared" si="10"/>
        <v>31.347826086956527</v>
      </c>
      <c r="F27" s="129">
        <f t="shared" si="10"/>
        <v>44.826086956521749</v>
      </c>
      <c r="G27" s="129">
        <f t="shared" si="10"/>
        <v>29.39130434782609</v>
      </c>
      <c r="H27" s="129">
        <f t="shared" si="10"/>
        <v>56.695652173913047</v>
      </c>
      <c r="I27" s="129" t="e">
        <f t="shared" si="10"/>
        <v>#VALUE!</v>
      </c>
      <c r="J27" s="129">
        <f t="shared" si="10"/>
        <v>42.565217391304351</v>
      </c>
      <c r="K27" s="129">
        <f t="shared" si="10"/>
        <v>31.434782608695659</v>
      </c>
      <c r="L27" s="129">
        <f t="shared" si="10"/>
        <v>53.391304347826093</v>
      </c>
      <c r="M27" s="129">
        <f t="shared" si="10"/>
        <v>80.695652173913047</v>
      </c>
      <c r="N27" s="129" t="e">
        <f t="shared" si="10"/>
        <v>#VALUE!</v>
      </c>
      <c r="O27" s="129">
        <f t="shared" si="10"/>
        <v>66.565217391304358</v>
      </c>
      <c r="P27" s="129">
        <f t="shared" si="10"/>
        <v>55.434782608695663</v>
      </c>
    </row>
    <row r="28" spans="2:32" x14ac:dyDescent="0.25">
      <c r="B28" s="135"/>
      <c r="C28" s="143"/>
      <c r="D28" s="142"/>
      <c r="E28" s="142"/>
      <c r="F28" s="142"/>
      <c r="G28" s="135"/>
    </row>
    <row r="29" spans="2:32" ht="75" x14ac:dyDescent="0.25">
      <c r="B29" s="135"/>
      <c r="C29" s="141" t="s">
        <v>154</v>
      </c>
      <c r="D29" s="139" t="s">
        <v>129</v>
      </c>
      <c r="E29" s="139" t="s">
        <v>153</v>
      </c>
      <c r="F29" s="139" t="s">
        <v>152</v>
      </c>
      <c r="G29" s="138" t="s">
        <v>151</v>
      </c>
      <c r="H29" s="139" t="s">
        <v>150</v>
      </c>
      <c r="I29" s="139" t="s">
        <v>149</v>
      </c>
      <c r="J29" s="139" t="s">
        <v>148</v>
      </c>
      <c r="K29" s="139" t="s">
        <v>147</v>
      </c>
      <c r="L29" s="140" t="s">
        <v>146</v>
      </c>
      <c r="M29" s="139" t="s">
        <v>145</v>
      </c>
      <c r="N29" s="139" t="s">
        <v>144</v>
      </c>
      <c r="O29" s="139" t="s">
        <v>143</v>
      </c>
      <c r="P29" s="139" t="s">
        <v>142</v>
      </c>
    </row>
    <row r="30" spans="2:32" x14ac:dyDescent="0.25">
      <c r="B30" s="135"/>
      <c r="C30" s="137" t="s">
        <v>141</v>
      </c>
      <c r="D30" s="137">
        <f t="shared" ref="D30:P30" si="11">$C$5</f>
        <v>4.1100000000000003</v>
      </c>
      <c r="E30" s="137">
        <f t="shared" si="11"/>
        <v>4.1100000000000003</v>
      </c>
      <c r="F30" s="137">
        <f t="shared" si="11"/>
        <v>4.1100000000000003</v>
      </c>
      <c r="G30" s="137">
        <f t="shared" si="11"/>
        <v>4.1100000000000003</v>
      </c>
      <c r="H30" s="137">
        <f t="shared" si="11"/>
        <v>4.1100000000000003</v>
      </c>
      <c r="I30" s="137">
        <f t="shared" si="11"/>
        <v>4.1100000000000003</v>
      </c>
      <c r="J30" s="137">
        <f t="shared" si="11"/>
        <v>4.1100000000000003</v>
      </c>
      <c r="K30" s="137">
        <f t="shared" si="11"/>
        <v>4.1100000000000003</v>
      </c>
      <c r="L30" s="137">
        <f t="shared" si="11"/>
        <v>4.1100000000000003</v>
      </c>
      <c r="M30" s="137">
        <f t="shared" si="11"/>
        <v>4.1100000000000003</v>
      </c>
      <c r="N30" s="137">
        <f t="shared" si="11"/>
        <v>4.1100000000000003</v>
      </c>
      <c r="O30" s="137">
        <f t="shared" si="11"/>
        <v>4.1100000000000003</v>
      </c>
      <c r="P30" s="137">
        <f t="shared" si="11"/>
        <v>4.1100000000000003</v>
      </c>
    </row>
    <row r="31" spans="2:32" x14ac:dyDescent="0.25">
      <c r="B31" s="135"/>
      <c r="C31" s="137" t="s">
        <v>140</v>
      </c>
      <c r="D31" s="131">
        <v>0</v>
      </c>
      <c r="E31" s="137">
        <f>$C$7</f>
        <v>7.36</v>
      </c>
      <c r="F31" s="137">
        <f>2*$C$7</f>
        <v>14.72</v>
      </c>
      <c r="G31" s="138">
        <f>$I$7</f>
        <v>2.5299999999999994</v>
      </c>
      <c r="H31" s="137">
        <f>$I$7+$C$7</f>
        <v>9.89</v>
      </c>
      <c r="I31" s="137">
        <f>$I$7+$C$7-$C$10</f>
        <v>6.2900000000000009</v>
      </c>
      <c r="J31" s="136">
        <f>$I$7+$C$7-$C$9</f>
        <v>6.2900000000000009</v>
      </c>
      <c r="K31" s="136">
        <f>$I$7+$C$7-$C$10-$C$9</f>
        <v>2.6900000000000008</v>
      </c>
      <c r="L31" s="138">
        <f>$I$8</f>
        <v>6.669999999999999</v>
      </c>
      <c r="M31" s="137">
        <f>$I$8+$C$7</f>
        <v>14.03</v>
      </c>
      <c r="N31" s="137">
        <f>$I$8+$C$7-$C$10</f>
        <v>10.43</v>
      </c>
      <c r="O31" s="136">
        <f>$I$8+$C$7-$C$9</f>
        <v>10.43</v>
      </c>
      <c r="P31" s="136">
        <f>$I$8+$C$7-$C$10-$C$9</f>
        <v>6.83</v>
      </c>
    </row>
    <row r="32" spans="2:32" x14ac:dyDescent="0.25">
      <c r="B32" s="135"/>
      <c r="C32" s="130" t="s">
        <v>139</v>
      </c>
      <c r="D32" s="131">
        <f t="shared" ref="D32:P32" si="12">SUM(D30:D31)</f>
        <v>4.1100000000000003</v>
      </c>
      <c r="E32" s="131">
        <f t="shared" si="12"/>
        <v>11.47</v>
      </c>
      <c r="F32" s="131">
        <f t="shared" si="12"/>
        <v>18.830000000000002</v>
      </c>
      <c r="G32" s="131">
        <f t="shared" si="12"/>
        <v>6.64</v>
      </c>
      <c r="H32" s="131">
        <f t="shared" si="12"/>
        <v>14</v>
      </c>
      <c r="I32" s="131">
        <f t="shared" si="12"/>
        <v>10.400000000000002</v>
      </c>
      <c r="J32" s="131">
        <f t="shared" si="12"/>
        <v>10.400000000000002</v>
      </c>
      <c r="K32" s="131">
        <f t="shared" si="12"/>
        <v>6.8000000000000007</v>
      </c>
      <c r="L32" s="131">
        <f t="shared" si="12"/>
        <v>10.78</v>
      </c>
      <c r="M32" s="131">
        <f t="shared" si="12"/>
        <v>18.14</v>
      </c>
      <c r="N32" s="131">
        <f t="shared" si="12"/>
        <v>14.54</v>
      </c>
      <c r="O32" s="131">
        <f t="shared" si="12"/>
        <v>14.54</v>
      </c>
      <c r="P32" s="131">
        <f t="shared" si="12"/>
        <v>10.940000000000001</v>
      </c>
    </row>
    <row r="33" spans="2:16" x14ac:dyDescent="0.25">
      <c r="B33" s="135"/>
      <c r="C33" s="130" t="s">
        <v>137</v>
      </c>
      <c r="D33" s="129">
        <f t="shared" ref="D33:P33" si="13">D32*$G$3</f>
        <v>17.869565217391308</v>
      </c>
      <c r="E33" s="133">
        <f t="shared" si="13"/>
        <v>49.869565217391312</v>
      </c>
      <c r="F33" s="134">
        <f t="shared" si="13"/>
        <v>81.869565217391326</v>
      </c>
      <c r="G33" s="133">
        <f t="shared" si="13"/>
        <v>28.869565217391308</v>
      </c>
      <c r="H33" s="133">
        <f t="shared" si="13"/>
        <v>60.869565217391312</v>
      </c>
      <c r="I33" s="133">
        <f t="shared" si="13"/>
        <v>45.217391304347842</v>
      </c>
      <c r="J33" s="133">
        <f t="shared" si="13"/>
        <v>45.217391304347842</v>
      </c>
      <c r="K33" s="133">
        <f t="shared" si="13"/>
        <v>29.565217391304355</v>
      </c>
      <c r="L33" s="133">
        <f t="shared" si="13"/>
        <v>46.869565217391312</v>
      </c>
      <c r="M33" s="134">
        <f t="shared" si="13"/>
        <v>78.869565217391312</v>
      </c>
      <c r="N33" s="133">
        <f t="shared" si="13"/>
        <v>63.217391304347835</v>
      </c>
      <c r="O33" s="133">
        <f t="shared" si="13"/>
        <v>63.217391304347835</v>
      </c>
      <c r="P33" s="133">
        <f t="shared" si="13"/>
        <v>47.565217391304358</v>
      </c>
    </row>
    <row r="34" spans="2:16" x14ac:dyDescent="0.25">
      <c r="C34" s="130" t="s">
        <v>138</v>
      </c>
      <c r="D34" s="131">
        <v>4.1100000000000003</v>
      </c>
      <c r="E34" s="131">
        <v>7.21</v>
      </c>
      <c r="F34" s="131">
        <v>10.31</v>
      </c>
      <c r="G34" s="131">
        <v>6.76</v>
      </c>
      <c r="H34" s="131">
        <v>13.04</v>
      </c>
      <c r="I34" s="132" t="s">
        <v>123</v>
      </c>
      <c r="J34" s="131">
        <v>9.7899999999999991</v>
      </c>
      <c r="K34" s="131">
        <v>7.23</v>
      </c>
      <c r="L34" s="131">
        <v>12.28</v>
      </c>
      <c r="M34" s="131">
        <v>18.559999999999999</v>
      </c>
      <c r="N34" s="132" t="s">
        <v>123</v>
      </c>
      <c r="O34" s="131">
        <v>15.31</v>
      </c>
      <c r="P34" s="131">
        <v>12.75</v>
      </c>
    </row>
    <row r="35" spans="2:16" x14ac:dyDescent="0.25">
      <c r="C35" s="130" t="s">
        <v>137</v>
      </c>
      <c r="D35" s="129">
        <f t="shared" ref="D35:P35" si="14">D34*$G$3</f>
        <v>17.869565217391308</v>
      </c>
      <c r="E35" s="129">
        <f t="shared" si="14"/>
        <v>31.347826086956527</v>
      </c>
      <c r="F35" s="129">
        <f t="shared" si="14"/>
        <v>44.826086956521749</v>
      </c>
      <c r="G35" s="129">
        <f t="shared" si="14"/>
        <v>29.39130434782609</v>
      </c>
      <c r="H35" s="129">
        <f t="shared" si="14"/>
        <v>56.695652173913047</v>
      </c>
      <c r="I35" s="129" t="e">
        <f t="shared" si="14"/>
        <v>#VALUE!</v>
      </c>
      <c r="J35" s="129">
        <f t="shared" si="14"/>
        <v>42.565217391304351</v>
      </c>
      <c r="K35" s="129">
        <f t="shared" si="14"/>
        <v>31.434782608695659</v>
      </c>
      <c r="L35" s="129">
        <f t="shared" si="14"/>
        <v>53.391304347826093</v>
      </c>
      <c r="M35" s="129">
        <f t="shared" si="14"/>
        <v>80.695652173913047</v>
      </c>
      <c r="N35" s="129" t="e">
        <f t="shared" si="14"/>
        <v>#VALUE!</v>
      </c>
      <c r="O35" s="129">
        <f t="shared" si="14"/>
        <v>66.565217391304358</v>
      </c>
      <c r="P35" s="129">
        <f t="shared" si="14"/>
        <v>55.434782608695663</v>
      </c>
    </row>
  </sheetData>
  <pageMargins left="0.7" right="0.7" top="0.75" bottom="0.75" header="0.3" footer="0.3"/>
  <pageSetup paperSize="9" orientation="portrait" r:id="rId1"/>
  <headerFooter>
    <oddFooter>&amp;C&amp;1#&amp;"Calibri"&amp;12&amp;K008000Internal Use</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1482E-7B6D-4F0A-92A0-89A072F3DF21}">
  <sheetPr>
    <tabColor rgb="FFFF0000"/>
  </sheetPr>
  <dimension ref="A1:BT57"/>
  <sheetViews>
    <sheetView topLeftCell="AK1" zoomScaleNormal="100" workbookViewId="0">
      <selection activeCell="BJ24" sqref="BJ24"/>
    </sheetView>
  </sheetViews>
  <sheetFormatPr defaultRowHeight="15" x14ac:dyDescent="0.25"/>
  <cols>
    <col min="1" max="1" width="9.140625" customWidth="1"/>
    <col min="2" max="2" width="32.85546875" customWidth="1"/>
    <col min="3" max="10" width="9.140625" customWidth="1"/>
    <col min="11" max="11" width="31.85546875" customWidth="1"/>
    <col min="12" max="19" width="9.140625" customWidth="1"/>
    <col min="20" max="20" width="66.28515625" customWidth="1"/>
    <col min="21" max="21" width="9.140625" customWidth="1"/>
    <col min="22" max="22" width="19.7109375" customWidth="1"/>
    <col min="23" max="23" width="9.140625" customWidth="1"/>
    <col min="24" max="24" width="25.7109375" customWidth="1"/>
    <col min="25" max="27" width="9.140625" customWidth="1"/>
    <col min="28" max="28" width="63.140625" customWidth="1"/>
    <col min="29" max="29" width="9.140625" customWidth="1"/>
    <col min="30" max="30" width="19.7109375" customWidth="1"/>
    <col min="31" max="33" width="9.140625" customWidth="1"/>
    <col min="34" max="34" width="65.28515625" customWidth="1"/>
    <col min="35" max="35" width="9.140625" customWidth="1"/>
    <col min="36" max="36" width="21.28515625" customWidth="1"/>
    <col min="37" max="39" width="9.140625" customWidth="1"/>
    <col min="40" max="40" width="65.28515625" hidden="1" customWidth="1"/>
    <col min="41" max="41" width="9.140625" hidden="1" customWidth="1"/>
    <col min="42" max="42" width="24.28515625" hidden="1" customWidth="1"/>
    <col min="43" max="43" width="9.140625" hidden="1" customWidth="1"/>
    <col min="44" max="45" width="9.140625" customWidth="1"/>
    <col min="46" max="46" width="65.28515625" customWidth="1"/>
    <col min="47" max="47" width="9.140625" customWidth="1"/>
    <col min="48" max="48" width="19.140625" customWidth="1"/>
    <col min="49" max="51" width="9.140625" customWidth="1"/>
    <col min="52" max="52" width="40.5703125" customWidth="1"/>
    <col min="53" max="53" width="31.140625" customWidth="1"/>
    <col min="54" max="54" width="10" bestFit="1" customWidth="1"/>
  </cols>
  <sheetData>
    <row r="1" spans="1:7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x14ac:dyDescent="0.25">
      <c r="A2" s="1"/>
      <c r="B2" s="2" t="s">
        <v>4</v>
      </c>
      <c r="C2" s="2"/>
      <c r="D2" s="2"/>
      <c r="E2" s="3"/>
      <c r="F2" s="3"/>
      <c r="G2" s="3"/>
      <c r="H2" s="3"/>
      <c r="I2" s="3"/>
      <c r="J2" s="3"/>
      <c r="K2" s="2" t="s">
        <v>204</v>
      </c>
      <c r="L2" s="2"/>
      <c r="M2" s="2"/>
      <c r="N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x14ac:dyDescent="0.25">
      <c r="A3" s="1"/>
      <c r="B3" s="5" t="s">
        <v>0</v>
      </c>
      <c r="C3" s="5" t="s">
        <v>1</v>
      </c>
      <c r="D3" s="5" t="s">
        <v>2</v>
      </c>
      <c r="E3" s="5" t="s">
        <v>3</v>
      </c>
      <c r="F3" s="4"/>
      <c r="G3" s="4"/>
      <c r="H3" s="4"/>
      <c r="I3" s="4"/>
      <c r="J3" s="4"/>
      <c r="K3" s="14" t="s">
        <v>0</v>
      </c>
      <c r="L3" s="14" t="s">
        <v>1</v>
      </c>
      <c r="M3" s="14" t="s">
        <v>2</v>
      </c>
      <c r="N3" s="14" t="s">
        <v>3</v>
      </c>
      <c r="O3" s="1"/>
      <c r="P3" s="1"/>
      <c r="Q3" s="1"/>
      <c r="R3" s="1"/>
      <c r="S3" s="1"/>
      <c r="T3" s="19" t="s">
        <v>22</v>
      </c>
      <c r="U3" s="19" t="s">
        <v>8</v>
      </c>
      <c r="V3" s="19" t="s">
        <v>12</v>
      </c>
      <c r="W3" s="19" t="s">
        <v>13</v>
      </c>
      <c r="X3" s="475" t="s">
        <v>210</v>
      </c>
      <c r="Y3" s="1"/>
      <c r="Z3" s="1"/>
      <c r="AA3" s="1"/>
      <c r="AB3" s="19" t="s">
        <v>30</v>
      </c>
      <c r="AC3" s="19" t="s">
        <v>8</v>
      </c>
      <c r="AD3" s="19" t="s">
        <v>12</v>
      </c>
      <c r="AE3" s="19" t="s">
        <v>13</v>
      </c>
      <c r="AF3" s="1"/>
      <c r="AG3" s="1"/>
      <c r="AH3" s="19" t="s">
        <v>40</v>
      </c>
      <c r="AI3" s="19" t="s">
        <v>8</v>
      </c>
      <c r="AJ3" s="19" t="s">
        <v>12</v>
      </c>
      <c r="AK3" s="19" t="s">
        <v>13</v>
      </c>
      <c r="AL3" s="1"/>
      <c r="AM3" s="1"/>
      <c r="AN3" s="19" t="s">
        <v>41</v>
      </c>
      <c r="AO3" s="19" t="s">
        <v>8</v>
      </c>
      <c r="AP3" s="19" t="s">
        <v>12</v>
      </c>
      <c r="AQ3" s="19" t="s">
        <v>13</v>
      </c>
      <c r="AR3" s="1"/>
      <c r="AS3" s="1"/>
      <c r="AT3" s="19" t="s">
        <v>42</v>
      </c>
      <c r="AU3" s="19" t="s">
        <v>8</v>
      </c>
      <c r="AV3" s="19" t="s">
        <v>12</v>
      </c>
      <c r="AW3" s="19" t="s">
        <v>13</v>
      </c>
      <c r="AX3" s="1"/>
      <c r="AY3" s="1"/>
      <c r="AZ3" s="106" t="s">
        <v>52</v>
      </c>
      <c r="BA3" s="106" t="s">
        <v>54</v>
      </c>
      <c r="BB3" s="106" t="s">
        <v>60</v>
      </c>
      <c r="BC3" s="1"/>
      <c r="BD3" s="1"/>
      <c r="BE3" s="1"/>
      <c r="BF3" s="1"/>
      <c r="BG3" s="1"/>
      <c r="BH3" s="1"/>
      <c r="BI3" s="1"/>
      <c r="BJ3" s="1"/>
      <c r="BK3" s="1"/>
      <c r="BL3" s="1"/>
      <c r="BM3" s="1"/>
      <c r="BN3" s="1"/>
      <c r="BO3" s="1"/>
      <c r="BP3" s="1"/>
      <c r="BQ3" s="1"/>
      <c r="BR3" s="1"/>
      <c r="BS3" s="1"/>
    </row>
    <row r="4" spans="1:71" x14ac:dyDescent="0.25">
      <c r="A4" s="1"/>
      <c r="B4" s="16">
        <v>1</v>
      </c>
      <c r="C4" s="7">
        <v>3.5870000000000002</v>
      </c>
      <c r="D4" s="6">
        <v>0.54900000000000004</v>
      </c>
      <c r="E4" s="21">
        <f>D4/C4</f>
        <v>0.15305269027042098</v>
      </c>
      <c r="F4" s="8"/>
      <c r="G4" s="8"/>
      <c r="H4" s="8"/>
      <c r="I4" s="8"/>
      <c r="J4" s="8"/>
      <c r="K4" s="17">
        <v>1</v>
      </c>
      <c r="L4" s="7">
        <v>2.8439999999999999</v>
      </c>
      <c r="M4" s="9">
        <v>0.54900000000000004</v>
      </c>
      <c r="N4" s="21">
        <f>M4/L4</f>
        <v>0.19303797468354433</v>
      </c>
      <c r="O4" s="1"/>
      <c r="P4" s="1"/>
      <c r="Q4" s="1"/>
      <c r="R4" s="1"/>
      <c r="S4" s="1"/>
      <c r="T4" s="18" t="s">
        <v>21</v>
      </c>
      <c r="U4" s="7">
        <f>C17</f>
        <v>1.929</v>
      </c>
      <c r="V4" s="20">
        <f>U4-$U$4</f>
        <v>0</v>
      </c>
      <c r="W4" s="22">
        <v>0</v>
      </c>
      <c r="X4" s="475"/>
      <c r="Y4" s="1"/>
      <c r="Z4" s="1"/>
      <c r="AA4" s="1"/>
      <c r="AB4" s="18" t="s">
        <v>21</v>
      </c>
      <c r="AC4" s="7">
        <f>C15</f>
        <v>4.1130000000000004</v>
      </c>
      <c r="AD4" s="20">
        <f>AC4-$AC$4</f>
        <v>0</v>
      </c>
      <c r="AE4" s="22">
        <v>0</v>
      </c>
      <c r="AF4" s="1"/>
      <c r="AG4" s="1"/>
      <c r="AH4" s="18" t="s">
        <v>21</v>
      </c>
      <c r="AI4" s="7">
        <f>C16</f>
        <v>1.7989999999999999</v>
      </c>
      <c r="AJ4" s="20">
        <f>AI4-$AI$4</f>
        <v>0</v>
      </c>
      <c r="AK4" s="22">
        <v>0</v>
      </c>
      <c r="AL4" s="1"/>
      <c r="AM4" s="1"/>
      <c r="AN4" s="18" t="s">
        <v>21</v>
      </c>
      <c r="AO4" s="7">
        <f>C18</f>
        <v>1.9930000000000001</v>
      </c>
      <c r="AP4" s="20">
        <f>AO4-$AO$4</f>
        <v>0</v>
      </c>
      <c r="AQ4" s="22">
        <v>0</v>
      </c>
      <c r="AR4" s="1"/>
      <c r="AS4" s="1"/>
      <c r="AT4" s="18" t="s">
        <v>21</v>
      </c>
      <c r="AU4" s="7">
        <f>C19</f>
        <v>2.0659999999999998</v>
      </c>
      <c r="AV4" s="20">
        <f>AU4-$U$4</f>
        <v>0.13699999999999979</v>
      </c>
      <c r="AW4" s="22">
        <v>0</v>
      </c>
      <c r="AX4" s="1"/>
      <c r="AY4" s="1"/>
      <c r="AZ4" s="107" t="s">
        <v>61</v>
      </c>
      <c r="BA4" s="108" t="s">
        <v>63</v>
      </c>
      <c r="BB4" s="109">
        <v>25</v>
      </c>
      <c r="BC4" s="1"/>
      <c r="BD4" s="1"/>
      <c r="BE4" s="1"/>
      <c r="BF4" s="1"/>
      <c r="BG4" s="1"/>
      <c r="BH4" s="1"/>
      <c r="BI4" s="1"/>
      <c r="BJ4" s="1"/>
      <c r="BK4" s="1"/>
      <c r="BL4" s="1"/>
      <c r="BM4" s="1"/>
      <c r="BN4" s="1"/>
      <c r="BO4" s="1"/>
      <c r="BP4" s="1"/>
      <c r="BQ4" s="1"/>
      <c r="BR4" s="1"/>
      <c r="BS4" s="1"/>
    </row>
    <row r="5" spans="1:71" x14ac:dyDescent="0.25">
      <c r="A5" s="1"/>
      <c r="B5" s="16">
        <v>25</v>
      </c>
      <c r="C5" s="7">
        <v>3.7559999999999998</v>
      </c>
      <c r="D5" s="6">
        <v>2.1000000000000001E-2</v>
      </c>
      <c r="E5" s="21">
        <f t="shared" ref="E5:E8" si="0">D5/C5</f>
        <v>5.5910543130990422E-3</v>
      </c>
      <c r="F5" s="8"/>
      <c r="G5" s="8"/>
      <c r="H5" s="8"/>
      <c r="I5" s="8"/>
      <c r="J5" s="8"/>
      <c r="K5" s="17">
        <v>25</v>
      </c>
      <c r="L5" s="7">
        <v>1.58</v>
      </c>
      <c r="M5" s="9">
        <v>0.317</v>
      </c>
      <c r="N5" s="21">
        <f t="shared" ref="N5:N8" si="1">M5/L5</f>
        <v>0.20063291139240505</v>
      </c>
      <c r="O5" s="1"/>
      <c r="P5" s="1"/>
      <c r="Q5" s="1"/>
      <c r="R5" s="1"/>
      <c r="S5" s="1"/>
      <c r="T5" s="18" t="s">
        <v>16</v>
      </c>
      <c r="U5" s="7">
        <f>C25</f>
        <v>3.802</v>
      </c>
      <c r="V5" s="20">
        <f>U5-$U$4</f>
        <v>1.873</v>
      </c>
      <c r="W5" s="22">
        <f>U5/$U$4</f>
        <v>1.9709694142042509</v>
      </c>
      <c r="X5" s="475"/>
      <c r="Y5" s="1"/>
      <c r="Z5" s="1"/>
      <c r="AA5" s="1"/>
      <c r="AB5" s="18" t="s">
        <v>16</v>
      </c>
      <c r="AC5" s="7">
        <f>C23</f>
        <v>7.21</v>
      </c>
      <c r="AD5" s="20">
        <f t="shared" ref="AD5:AD8" si="2">AC5-$AC$4</f>
        <v>3.0969999999999995</v>
      </c>
      <c r="AE5" s="22">
        <f>AC5/$AC$4</f>
        <v>1.7529783612934595</v>
      </c>
      <c r="AF5" s="1"/>
      <c r="AG5" s="1"/>
      <c r="AH5" s="18" t="s">
        <v>16</v>
      </c>
      <c r="AI5" s="7">
        <f>C24</f>
        <v>3.9430000000000001</v>
      </c>
      <c r="AJ5" s="20">
        <f t="shared" ref="AJ5:AJ8" si="3">AI5-$AI$4</f>
        <v>2.1440000000000001</v>
      </c>
      <c r="AK5" s="22">
        <f>AI5/$AI$4</f>
        <v>2.1917732073374099</v>
      </c>
      <c r="AL5" s="1"/>
      <c r="AM5" s="1"/>
      <c r="AN5" s="18" t="s">
        <v>16</v>
      </c>
      <c r="AO5" s="7">
        <f>C26</f>
        <v>3.7570000000000001</v>
      </c>
      <c r="AP5" s="20">
        <f t="shared" ref="AP5:AP8" si="4">AO5-$AO$4</f>
        <v>1.764</v>
      </c>
      <c r="AQ5" s="22">
        <f>AO5/$AO$4</f>
        <v>1.88509784244857</v>
      </c>
      <c r="AR5" s="1"/>
      <c r="AS5" s="1"/>
      <c r="AT5" s="18" t="s">
        <v>16</v>
      </c>
      <c r="AU5" s="7">
        <f>C27</f>
        <v>3.7320000000000002</v>
      </c>
      <c r="AV5" s="20">
        <f>AU5-$U$4</f>
        <v>1.8030000000000002</v>
      </c>
      <c r="AW5" s="22">
        <f>AU5/$U$4</f>
        <v>1.9346811819595646</v>
      </c>
      <c r="AX5" s="1"/>
      <c r="AY5" s="1"/>
      <c r="AZ5" s="110" t="s">
        <v>62</v>
      </c>
      <c r="BA5" s="111" t="s">
        <v>56</v>
      </c>
      <c r="BB5" s="112">
        <v>0</v>
      </c>
      <c r="BC5" s="1"/>
      <c r="BD5" s="1"/>
      <c r="BE5" s="1"/>
      <c r="BF5" s="1"/>
      <c r="BG5" s="1"/>
      <c r="BH5" s="1"/>
      <c r="BI5" s="1"/>
      <c r="BJ5" s="1"/>
      <c r="BK5" s="1"/>
      <c r="BL5" s="1"/>
      <c r="BM5" s="1"/>
      <c r="BN5" s="1"/>
      <c r="BO5" s="1"/>
      <c r="BP5" s="1"/>
      <c r="BQ5" s="1"/>
      <c r="BR5" s="1"/>
      <c r="BS5" s="1"/>
    </row>
    <row r="6" spans="1:71" x14ac:dyDescent="0.25">
      <c r="A6" s="1"/>
      <c r="B6" s="16">
        <v>50</v>
      </c>
      <c r="C6" s="7">
        <v>3.7370000000000001</v>
      </c>
      <c r="D6" s="6">
        <v>3.1E-2</v>
      </c>
      <c r="E6" s="21">
        <f t="shared" si="0"/>
        <v>8.2954241370082945E-3</v>
      </c>
      <c r="F6" s="8"/>
      <c r="G6" s="10"/>
      <c r="H6" s="8"/>
      <c r="I6" s="8"/>
      <c r="J6" s="8"/>
      <c r="K6" s="17">
        <v>50</v>
      </c>
      <c r="L6" s="7">
        <v>1.389</v>
      </c>
      <c r="M6" s="9">
        <v>0.192</v>
      </c>
      <c r="N6" s="21">
        <f t="shared" si="1"/>
        <v>0.13822894168466524</v>
      </c>
      <c r="O6" s="1"/>
      <c r="P6" s="1"/>
      <c r="Q6" s="1"/>
      <c r="R6" s="1"/>
      <c r="S6" s="1"/>
      <c r="T6" s="18" t="s">
        <v>17</v>
      </c>
      <c r="U6" s="7">
        <f>C33</f>
        <v>5.4351198335644924</v>
      </c>
      <c r="V6" s="20">
        <f>U6-$U$4</f>
        <v>3.5061198335644921</v>
      </c>
      <c r="W6" s="22">
        <f t="shared" ref="W6:W8" si="5">U6/$U$4</f>
        <v>2.8175841542584199</v>
      </c>
      <c r="X6" s="475"/>
      <c r="Y6" s="1"/>
      <c r="Z6" s="1"/>
      <c r="AA6" s="1"/>
      <c r="AB6" s="18" t="s">
        <v>17</v>
      </c>
      <c r="AC6" s="7">
        <f>C31</f>
        <v>10.306999999999999</v>
      </c>
      <c r="AD6" s="20">
        <f t="shared" si="2"/>
        <v>6.1939999999999982</v>
      </c>
      <c r="AE6" s="22">
        <f t="shared" ref="AE6:AE8" si="6">AC6/$AC$4</f>
        <v>2.505956722586919</v>
      </c>
      <c r="AF6" s="1"/>
      <c r="AG6" s="1"/>
      <c r="AH6" s="18" t="s">
        <v>17</v>
      </c>
      <c r="AI6" s="7">
        <f>C32</f>
        <v>5.636685298196948</v>
      </c>
      <c r="AJ6" s="20">
        <f t="shared" si="3"/>
        <v>3.837685298196948</v>
      </c>
      <c r="AK6" s="22">
        <f t="shared" ref="AK6:AK8" si="7">AI6/$AI$4</f>
        <v>3.1332325170633397</v>
      </c>
      <c r="AL6" s="1"/>
      <c r="AM6" s="1"/>
      <c r="AN6" s="18" t="s">
        <v>17</v>
      </c>
      <c r="AO6" s="7">
        <f>C34</f>
        <v>5.3707904299583902</v>
      </c>
      <c r="AP6" s="20">
        <f t="shared" si="4"/>
        <v>3.3777904299583899</v>
      </c>
      <c r="AQ6" s="22">
        <f t="shared" ref="AQ6:AQ8" si="8">AO6/$AO$4</f>
        <v>2.6948271098637178</v>
      </c>
      <c r="AR6" s="1"/>
      <c r="AS6" s="1"/>
      <c r="AT6" s="18" t="s">
        <v>17</v>
      </c>
      <c r="AU6" s="7">
        <f>C35</f>
        <v>5.3350518723994442</v>
      </c>
      <c r="AV6" s="20">
        <f>AU6-$U$4</f>
        <v>3.406051872399444</v>
      </c>
      <c r="AW6" s="22">
        <f t="shared" ref="AW6:AW8" si="9">AU6/$U$4</f>
        <v>2.7657085911868555</v>
      </c>
      <c r="AX6" s="1"/>
      <c r="AY6" s="1"/>
      <c r="AZ6" s="113" t="s">
        <v>212</v>
      </c>
      <c r="BA6" s="114" t="s">
        <v>55</v>
      </c>
      <c r="BB6" s="115" t="s">
        <v>59</v>
      </c>
      <c r="BC6" s="1"/>
      <c r="BD6" s="1"/>
      <c r="BE6" s="1"/>
      <c r="BF6" s="1"/>
      <c r="BG6" s="1"/>
      <c r="BH6" s="1"/>
      <c r="BI6" s="1"/>
      <c r="BJ6" s="1"/>
      <c r="BK6" s="1"/>
      <c r="BL6" s="1"/>
      <c r="BM6" s="1"/>
      <c r="BN6" s="1"/>
      <c r="BO6" s="1"/>
      <c r="BP6" s="1"/>
      <c r="BQ6" s="1"/>
      <c r="BR6" s="1"/>
      <c r="BS6" s="1"/>
    </row>
    <row r="7" spans="1:71" ht="15" customHeight="1" x14ac:dyDescent="0.25">
      <c r="A7" s="1"/>
      <c r="B7" s="16">
        <v>75</v>
      </c>
      <c r="C7" s="7">
        <v>3.7130000000000001</v>
      </c>
      <c r="D7" s="6">
        <v>4.3999999999999997E-2</v>
      </c>
      <c r="E7" s="21">
        <f t="shared" si="0"/>
        <v>1.1850255857796929E-2</v>
      </c>
      <c r="F7" s="8"/>
      <c r="G7" s="8"/>
      <c r="H7" s="8"/>
      <c r="I7" s="8"/>
      <c r="J7" s="8"/>
      <c r="K7" s="17">
        <v>75</v>
      </c>
      <c r="L7" s="7">
        <v>1.304</v>
      </c>
      <c r="M7" s="9">
        <v>0.20899999999999999</v>
      </c>
      <c r="N7" s="21">
        <f t="shared" si="1"/>
        <v>0.16027607361963189</v>
      </c>
      <c r="O7" s="1"/>
      <c r="P7" s="1"/>
      <c r="Q7" s="1"/>
      <c r="R7" s="1"/>
      <c r="S7" s="1"/>
      <c r="T7" s="18" t="s">
        <v>24</v>
      </c>
      <c r="U7" s="7">
        <f>L17</f>
        <v>2.5133137220670396</v>
      </c>
      <c r="V7" s="20">
        <f>U7-$U$4</f>
        <v>0.58431372206703958</v>
      </c>
      <c r="W7" s="22">
        <f t="shared" si="5"/>
        <v>1.302910172144655</v>
      </c>
      <c r="X7" s="475"/>
      <c r="Y7" s="1"/>
      <c r="Z7" s="1"/>
      <c r="AA7" s="1"/>
      <c r="AB7" s="18" t="s">
        <v>24</v>
      </c>
      <c r="AC7" s="7">
        <f>L15</f>
        <v>6.5230000000000006</v>
      </c>
      <c r="AD7" s="20">
        <f t="shared" si="2"/>
        <v>2.41</v>
      </c>
      <c r="AE7" s="22">
        <f t="shared" si="6"/>
        <v>1.5859469973255531</v>
      </c>
      <c r="AF7" s="1"/>
      <c r="AG7" s="1"/>
      <c r="AH7" s="18" t="s">
        <v>24</v>
      </c>
      <c r="AI7" s="7">
        <f>L16</f>
        <v>3.0303252444134086</v>
      </c>
      <c r="AJ7" s="20">
        <f t="shared" si="3"/>
        <v>1.2313252444134086</v>
      </c>
      <c r="AK7" s="22">
        <f t="shared" si="7"/>
        <v>1.6844498301353021</v>
      </c>
      <c r="AL7" s="1"/>
      <c r="AM7" s="1"/>
      <c r="AN7" s="18" t="s">
        <v>24</v>
      </c>
      <c r="AO7" s="7">
        <f>L18*1.18</f>
        <v>2.7520500558659222</v>
      </c>
      <c r="AP7" s="20">
        <f t="shared" si="4"/>
        <v>0.75905005586592211</v>
      </c>
      <c r="AQ7" s="22">
        <f t="shared" si="8"/>
        <v>1.3808580310416068</v>
      </c>
      <c r="AR7" s="1"/>
      <c r="AS7" s="1"/>
      <c r="AT7" s="18" t="s">
        <v>24</v>
      </c>
      <c r="AU7" s="7">
        <f>L19</f>
        <v>2.2548079608938552</v>
      </c>
      <c r="AV7" s="20">
        <f>AU7-$U$4</f>
        <v>0.32580796089385511</v>
      </c>
      <c r="AW7" s="22">
        <f t="shared" si="9"/>
        <v>1.168899927886913</v>
      </c>
      <c r="AX7" s="1"/>
      <c r="AY7" s="1"/>
      <c r="AZ7" s="116" t="s">
        <v>53</v>
      </c>
      <c r="BA7" s="117" t="s">
        <v>55</v>
      </c>
      <c r="BB7" s="118" t="s">
        <v>82</v>
      </c>
      <c r="BC7" s="1"/>
      <c r="BD7" s="1"/>
      <c r="BE7" s="1"/>
      <c r="BF7" s="1"/>
      <c r="BG7" s="1"/>
      <c r="BH7" s="1"/>
      <c r="BI7" s="1"/>
      <c r="BJ7" s="1"/>
      <c r="BK7" s="1"/>
      <c r="BL7" s="1"/>
      <c r="BM7" s="1"/>
      <c r="BN7" s="1"/>
      <c r="BO7" s="1"/>
      <c r="BP7" s="1"/>
      <c r="BQ7" s="1"/>
      <c r="BR7" s="1"/>
      <c r="BS7" s="1"/>
    </row>
    <row r="8" spans="1:71" x14ac:dyDescent="0.25">
      <c r="A8" s="1"/>
      <c r="B8" s="16">
        <v>100</v>
      </c>
      <c r="C8" s="7">
        <v>3.6880000000000002</v>
      </c>
      <c r="D8" s="6">
        <v>5.2999999999999999E-2</v>
      </c>
      <c r="E8" s="21">
        <f t="shared" si="0"/>
        <v>1.4370932754880694E-2</v>
      </c>
      <c r="F8" s="8"/>
      <c r="G8" s="8"/>
      <c r="H8" s="8"/>
      <c r="I8" s="8"/>
      <c r="J8" s="8"/>
      <c r="K8" s="17">
        <v>100</v>
      </c>
      <c r="L8" s="7">
        <v>1.276</v>
      </c>
      <c r="M8" s="9">
        <v>9.1999999999999998E-2</v>
      </c>
      <c r="N8" s="21">
        <f t="shared" si="1"/>
        <v>7.2100313479623826E-2</v>
      </c>
      <c r="O8" s="1"/>
      <c r="P8" s="1"/>
      <c r="Q8" s="1"/>
      <c r="R8" s="1"/>
      <c r="S8" s="1"/>
      <c r="T8" s="18" t="s">
        <v>20</v>
      </c>
      <c r="U8" s="7">
        <f>L25</f>
        <v>5.6970315771527007</v>
      </c>
      <c r="V8" s="20">
        <f>U8-$U$4</f>
        <v>3.7680315771527004</v>
      </c>
      <c r="W8" s="22">
        <f t="shared" si="5"/>
        <v>2.9533600711004149</v>
      </c>
      <c r="X8" s="475"/>
      <c r="Y8" s="1"/>
      <c r="Z8" s="1"/>
      <c r="AA8" s="1"/>
      <c r="AB8" s="18" t="s">
        <v>20</v>
      </c>
      <c r="AC8" s="7">
        <f>L23</f>
        <v>12.716999999999999</v>
      </c>
      <c r="AD8" s="20">
        <f t="shared" si="2"/>
        <v>8.6039999999999992</v>
      </c>
      <c r="AE8" s="22">
        <f t="shared" si="6"/>
        <v>3.0919037199124721</v>
      </c>
      <c r="AF8" s="1"/>
      <c r="AG8" s="1"/>
      <c r="AH8" s="18" t="s">
        <v>20</v>
      </c>
      <c r="AI8" s="7">
        <f>L24</f>
        <v>6.3886365456925773</v>
      </c>
      <c r="AJ8" s="20">
        <f t="shared" si="3"/>
        <v>4.5896365456925778</v>
      </c>
      <c r="AK8" s="22">
        <f t="shared" si="7"/>
        <v>3.5512154228418997</v>
      </c>
      <c r="AL8" s="1"/>
      <c r="AM8" s="1"/>
      <c r="AN8" s="18" t="s">
        <v>20</v>
      </c>
      <c r="AO8" s="7">
        <f>L26</f>
        <v>5.4527109737408708</v>
      </c>
      <c r="AP8" s="20">
        <f t="shared" si="4"/>
        <v>3.4597109737408704</v>
      </c>
      <c r="AQ8" s="22">
        <f t="shared" si="8"/>
        <v>2.7359312462322483</v>
      </c>
      <c r="AR8" s="1"/>
      <c r="AS8" s="1"/>
      <c r="AT8" s="18" t="s">
        <v>20</v>
      </c>
      <c r="AU8" s="7">
        <f>L27</f>
        <v>5.3430652495759636</v>
      </c>
      <c r="AV8" s="20">
        <f>AU8-$U$4</f>
        <v>3.4140652495759634</v>
      </c>
      <c r="AW8" s="22">
        <f t="shared" si="9"/>
        <v>2.7698627525017954</v>
      </c>
      <c r="AX8" s="1"/>
      <c r="AY8" s="1"/>
      <c r="AZ8" s="116" t="s">
        <v>75</v>
      </c>
      <c r="BA8" s="117" t="s">
        <v>55</v>
      </c>
      <c r="BB8" s="118" t="s">
        <v>82</v>
      </c>
      <c r="BC8" s="1"/>
      <c r="BD8" s="1"/>
      <c r="BE8" s="1"/>
      <c r="BF8" s="1"/>
      <c r="BG8" s="1"/>
      <c r="BH8" s="1"/>
      <c r="BI8" s="1"/>
      <c r="BJ8" s="1"/>
      <c r="BK8" s="1"/>
      <c r="BL8" s="1"/>
      <c r="BM8" s="1"/>
      <c r="BN8" s="1"/>
      <c r="BO8" s="1"/>
      <c r="BP8" s="1"/>
      <c r="BQ8" s="1"/>
      <c r="BR8" s="1"/>
      <c r="BS8" s="1"/>
    </row>
    <row r="9" spans="1:71" x14ac:dyDescent="0.25">
      <c r="A9" s="1"/>
      <c r="B9" s="51"/>
      <c r="C9" s="12"/>
      <c r="D9" s="52"/>
      <c r="E9" s="53"/>
      <c r="F9" s="8"/>
      <c r="G9" s="8"/>
      <c r="H9" s="8"/>
      <c r="I9" s="8"/>
      <c r="J9" s="8"/>
      <c r="K9" s="54"/>
      <c r="L9" s="12"/>
      <c r="M9" s="55"/>
      <c r="N9" s="53"/>
      <c r="O9" s="1"/>
      <c r="P9" s="1"/>
      <c r="Q9" s="1"/>
      <c r="R9" s="1"/>
      <c r="S9" s="1"/>
      <c r="T9" s="56"/>
      <c r="U9" s="12"/>
      <c r="V9" s="57"/>
      <c r="W9" s="58"/>
      <c r="X9" s="1"/>
      <c r="Y9" s="1"/>
      <c r="Z9" s="1"/>
      <c r="AA9" s="1"/>
      <c r="AB9" s="56"/>
      <c r="AC9" s="12"/>
      <c r="AD9" s="57"/>
      <c r="AE9" s="58"/>
      <c r="AF9" s="1"/>
      <c r="AG9" s="1"/>
      <c r="AH9" s="56"/>
      <c r="AI9" s="12"/>
      <c r="AJ9" s="57"/>
      <c r="AK9" s="58"/>
      <c r="AL9" s="1"/>
      <c r="AM9" s="1"/>
      <c r="AN9" s="56"/>
      <c r="AO9" s="12"/>
      <c r="AP9" s="57"/>
      <c r="AQ9" s="58"/>
      <c r="AR9" s="1"/>
      <c r="AS9" s="1"/>
      <c r="AT9" s="56"/>
      <c r="AU9" s="12"/>
      <c r="AV9" s="57"/>
      <c r="AW9" s="58"/>
      <c r="AX9" s="1"/>
      <c r="AY9" s="1"/>
      <c r="AZ9" s="119" t="s">
        <v>84</v>
      </c>
      <c r="BA9" s="120" t="s">
        <v>55</v>
      </c>
      <c r="BB9" s="121" t="s">
        <v>82</v>
      </c>
      <c r="BC9" s="1"/>
      <c r="BD9" s="1"/>
      <c r="BE9" s="1"/>
      <c r="BF9" s="1"/>
      <c r="BG9" s="1"/>
      <c r="BH9" s="1"/>
      <c r="BI9" s="1"/>
      <c r="BJ9" s="1"/>
      <c r="BK9" s="1"/>
      <c r="BL9" s="1"/>
      <c r="BM9" s="1"/>
      <c r="BN9" s="1"/>
      <c r="BO9" s="1"/>
      <c r="BP9" s="1"/>
      <c r="BQ9" s="1"/>
      <c r="BR9" s="1"/>
      <c r="BS9" s="1"/>
    </row>
    <row r="10" spans="1:71" x14ac:dyDescent="0.25">
      <c r="A10" s="1"/>
      <c r="B10" s="51"/>
      <c r="C10" s="12"/>
      <c r="D10" s="52"/>
      <c r="E10" s="53"/>
      <c r="F10" s="8"/>
      <c r="G10" s="8"/>
      <c r="H10" s="8"/>
      <c r="I10" s="8"/>
      <c r="J10" s="8"/>
      <c r="K10" s="54"/>
      <c r="L10" s="12"/>
      <c r="M10" s="55"/>
      <c r="N10" s="53"/>
      <c r="O10" s="1"/>
      <c r="P10" s="1"/>
      <c r="Q10" s="1"/>
      <c r="R10" s="1"/>
      <c r="S10" s="1"/>
      <c r="T10" s="56"/>
      <c r="U10" s="12"/>
      <c r="V10" s="57"/>
      <c r="W10" s="58"/>
      <c r="X10" s="1"/>
      <c r="Y10" s="1"/>
      <c r="Z10" s="1"/>
      <c r="AA10" s="1"/>
      <c r="AB10" s="56"/>
      <c r="AC10" s="12"/>
      <c r="AD10" s="57"/>
      <c r="AE10" s="58"/>
      <c r="AF10" s="1"/>
      <c r="AG10" s="1"/>
      <c r="AH10" s="56"/>
      <c r="AI10" s="12"/>
      <c r="AJ10" s="57"/>
      <c r="AK10" s="58"/>
      <c r="AL10" s="1"/>
      <c r="AM10" s="1"/>
      <c r="AN10" s="56"/>
      <c r="AO10" s="12"/>
      <c r="AP10" s="57"/>
      <c r="AQ10" s="58"/>
      <c r="AR10" s="1"/>
      <c r="AS10" s="1"/>
      <c r="AT10" s="56"/>
      <c r="AU10" s="12"/>
      <c r="AV10" s="57"/>
      <c r="AW10" s="58"/>
      <c r="AX10" s="1"/>
      <c r="AY10" s="1"/>
      <c r="AZ10" s="119" t="s">
        <v>85</v>
      </c>
      <c r="BA10" s="120" t="s">
        <v>55</v>
      </c>
      <c r="BB10" s="121" t="s">
        <v>82</v>
      </c>
      <c r="BC10" s="1"/>
      <c r="BD10" s="1"/>
      <c r="BE10" s="1"/>
      <c r="BF10" s="1"/>
      <c r="BG10" s="1"/>
      <c r="BH10" s="1"/>
      <c r="BI10" s="1"/>
      <c r="BJ10" s="1"/>
      <c r="BK10" s="1"/>
      <c r="BL10" s="1"/>
      <c r="BM10" s="1"/>
      <c r="BN10" s="1"/>
      <c r="BO10" s="1"/>
      <c r="BP10" s="1"/>
      <c r="BQ10" s="1"/>
      <c r="BR10" s="1"/>
      <c r="BS10" s="1"/>
    </row>
    <row r="11" spans="1:71" x14ac:dyDescent="0.25">
      <c r="A11" s="1"/>
      <c r="B11" s="8"/>
      <c r="C11" s="8"/>
      <c r="D11" s="8"/>
      <c r="E11" s="8"/>
      <c r="F11" s="8"/>
      <c r="G11" s="8"/>
      <c r="H11" s="8"/>
      <c r="I11" s="8"/>
      <c r="J11" s="8"/>
      <c r="K11" s="8"/>
      <c r="L11" s="8"/>
      <c r="M11" s="8"/>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22" t="s">
        <v>125</v>
      </c>
      <c r="BA11" s="123" t="s">
        <v>55</v>
      </c>
      <c r="BB11" s="124" t="s">
        <v>82</v>
      </c>
      <c r="BC11" s="1"/>
      <c r="BD11" s="1"/>
      <c r="BE11" s="1"/>
      <c r="BF11" s="1"/>
      <c r="BG11" s="1"/>
      <c r="BH11" s="1"/>
      <c r="BI11" s="1"/>
      <c r="BJ11" s="1"/>
      <c r="BK11" s="1"/>
      <c r="BL11" s="1"/>
      <c r="BM11" s="1"/>
      <c r="BN11" s="1"/>
      <c r="BO11" s="1"/>
      <c r="BP11" s="1"/>
      <c r="BQ11" s="1"/>
      <c r="BR11" s="1"/>
      <c r="BS11" s="1"/>
    </row>
    <row r="12" spans="1:71" x14ac:dyDescent="0.25">
      <c r="A12" s="1"/>
      <c r="B12" s="8"/>
      <c r="C12" s="8"/>
      <c r="D12" s="8"/>
      <c r="E12" s="8"/>
      <c r="F12" s="8"/>
      <c r="G12" s="8"/>
      <c r="H12" s="8"/>
      <c r="I12" s="8"/>
      <c r="J12" s="8"/>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x14ac:dyDescent="0.25">
      <c r="A13" s="1"/>
      <c r="B13" s="8" t="s">
        <v>5</v>
      </c>
      <c r="C13" s="8"/>
      <c r="D13" s="8"/>
      <c r="E13" s="8"/>
      <c r="F13" s="8"/>
      <c r="G13" s="8"/>
      <c r="H13" s="8"/>
      <c r="I13" s="8"/>
      <c r="J13" s="8"/>
      <c r="K13" s="8" t="s">
        <v>203</v>
      </c>
      <c r="L13" s="8"/>
      <c r="M13" s="8"/>
      <c r="N13" s="8"/>
      <c r="O13" s="1"/>
      <c r="P13" s="1"/>
      <c r="Q13" s="1"/>
      <c r="R13" s="1"/>
      <c r="S13" s="1"/>
      <c r="T13" s="19" t="s">
        <v>29</v>
      </c>
      <c r="U13" s="19" t="s">
        <v>8</v>
      </c>
      <c r="V13" s="19" t="s">
        <v>12</v>
      </c>
      <c r="W13" s="19" t="s">
        <v>13</v>
      </c>
      <c r="X13" s="1"/>
      <c r="Y13" s="1"/>
      <c r="Z13" s="1"/>
      <c r="AA13" s="1"/>
      <c r="AB13" s="19" t="s">
        <v>31</v>
      </c>
      <c r="AC13" s="19" t="s">
        <v>8</v>
      </c>
      <c r="AD13" s="19" t="s">
        <v>12</v>
      </c>
      <c r="AE13" s="19" t="s">
        <v>13</v>
      </c>
      <c r="AF13" s="1"/>
      <c r="AG13" s="1"/>
      <c r="AH13" s="19" t="s">
        <v>43</v>
      </c>
      <c r="AI13" s="19" t="s">
        <v>8</v>
      </c>
      <c r="AJ13" s="19" t="s">
        <v>12</v>
      </c>
      <c r="AK13" s="19" t="s">
        <v>13</v>
      </c>
      <c r="AL13" s="1"/>
      <c r="AM13" s="1"/>
      <c r="AN13" s="19" t="s">
        <v>45</v>
      </c>
      <c r="AO13" s="19" t="s">
        <v>8</v>
      </c>
      <c r="AP13" s="19" t="s">
        <v>12</v>
      </c>
      <c r="AQ13" s="19" t="s">
        <v>13</v>
      </c>
      <c r="AR13" s="1"/>
      <c r="AS13" s="1"/>
      <c r="AT13" s="19" t="s">
        <v>47</v>
      </c>
      <c r="AU13" s="19" t="s">
        <v>8</v>
      </c>
      <c r="AV13" s="19" t="s">
        <v>12</v>
      </c>
      <c r="AW13" s="19" t="s">
        <v>13</v>
      </c>
      <c r="AX13" s="1"/>
      <c r="AY13" s="1"/>
      <c r="AZ13" s="1"/>
      <c r="BA13" s="125" t="s">
        <v>86</v>
      </c>
      <c r="BB13" s="126">
        <f>IF(AND(BB4=100,BB5=0,BB6="No",BB7="No",BB8="No"),AU4,IF(AND(BB4=100,BB5=3.68,BB6="No",BB7="No",BB8="No"),AU5,IF(AND(BB4=100,BB5=7.36,BB6="No",BB7="No",BB8="No"),AU6,IF(AND(BB4=100,BB5=0,BB6="Yes",BB7="No",BB8="No"),AU7,IF(AND(BB4=100,BB5=7.36,BB6="Yes",BB7="No",BB8="No"),AU8,IF(AND(BB4=100,BB5=0,BB6="No",BB7="Yes",BB8="No"),AU15,IF(AND(BB4=100,BB5=3.68,BB6="No",BB7="Yes",BB8="No"),AU16,IF(AND(BB4=100,BB5=7.36,BB6="No",BB7="Yes",BB8="No"),AU17,IF(AND(BB4=100,BB5=0,BB6="Yes",BB7="Yes",BB8="No"),AU18,IF(AND(BB4=100,BB5=7.36,BB6="Yes",BB7="Yes",BB8="No"),AU19,IF(AND(BB4=100,BB5=0,BB6="No",BB7="Yes",BB8="Yes"),AU23,IF(AND(BB4=100,BB5=3.68,BB6="No",BB7="Yes",BB8="Yes"),AU24,IF(AND(BB4=100,BB5=7.36,BB6="No",BB7="Yes",BB8="Yes"),AU25,IF(AND(BB4=100,BB5=0,BB6="Yes",BB7="Yes",BB8="Yes"),AU26,IF(AND(BB4=100,BB5=7.36,BB6="Yes",BB7="Yes",BB8="Yes"),AU27,IF(AND(BB4=1,BB5=0,BB6="No",BB7="No",BB8="No"),AC4,IF(AND(BB4=1,BB5=3.68,BB6="No",BB7="No",BB8="No"),AC5,IF(AND(BB4=1,BB5=7.36,BB6="No",BB7="No",BB8="No"),AC6,IF(AND(BB4=1,BB5=0,BB6="Yes",BB7="No",BB8="No"),AC7,IF(AND(BB4=1,BB5=7.36,BB6="Yes",BB7="No",BB8="No"),AC8,IF(AND(BB4=1,BB5=0,BB6="No",BB7="Yes",BB8="No"),AC15,IF(AND(BB4=1,BB5=3.68,BB6="No",BB7="Yes",BB8="No"),AC16,IF(AND(BB4=1,BB5=7.36,BB6="No",BB7="Yes",BB8="No"),AC17,IF(AND(BB4=1,BB5=0,BB6="Yes",BB7="Yes",BB8="No"),AC18,IF(AND(BB4=1,BB5=7.36,BB6="Yes",BB7="Yes",BB8="No"),AC19,IF(AND(BB4=1,BB5=0,BB6="No",BB7="Yes",BB8="Yes"),AC23,IF(AND(BB4=1,BB5=3.68,BB6="No",BB7="Yes",BB8="Yes"),AC24,IF(AND(BB4=1,BB5=7.36,BB6="No",BB7="Yes",BB8="Yes"),AC25,IF(AND(BB4=1,BB5=0,BB6="Yes",BB7="Yes",BB8="Yes"),AC26,IF(AND(BB4=1,BB5=7.36,BB6="Yes",BB7="Yes",BB8="Yes"),AC27,IF(AND(BB4=25,BB5=0,BB6="No",BB7="No",BB8="No"),AI4,IF(AND(BB4=25,BB5=3.68,BB6="No",BB7="No",BB8="No"),AI5,IF(AND(BB4=25,BB5=7.36,BB6="No",BB7="No",BB8="No"),AI6,IF(AND(BB4=25,BB5=0,BB6="Yes",BB7="No",BB8="No"),AI7,IF(AND(BB4=25,BB5=7.36,BB6="Yes",BB7="No",BB8="No"),AI8,IF(AND(BB4=25,BB5=0,BB6="No",BB7="Yes",BB8="No"),AI15,IF(AND(BB4=25,BB5=3.68,BB6="No",BB7="Yes",BB8="No"),AI16,IF(AND(BB4=25,BB5=7.36,BB6="No",BB7="Yes",BB8="No"),AI17,IF(AND(BB4=25,BB5=0,BB6="Yes",BB7="Yes",BB8="No"),AI18,IF(AND(BB4=25,BB5=7.36,BB6="Yes",BB7="Yes",BB8="No"),AI19,IF(AND(BB4=25,BB5=0,BB6="No",BB7="Yes",BB8="Yes"),AI23,IF(AND(BB4=25,BB5=3.68,BB6="No",BB7="Yes",BB8="Yes"),AI24,IF(AND(BB4=25,BB5=7.36,BB6="No",BB7="Yes",BB8="Yes"),AI25,IF(AND(BB4=25,BB5=0,BB6="Yes",BB7="Yes",BB8="Yes"),AI26,IF(AND(BB4=25,BB5=7.36,BB6="Yes",BB7="Yes",BB8="Yes"),AI27,IF(AND(BB4=50,BB5=0,BB6="No",BB7="No",BB8="No"),U4,IF(AND(BB4=50,BB5=3.68,BB6="No",BB7="No",BB8="No"),U5,IF(AND(BB4=50,BB5=7.36,BB6="No",BB7="No",BB8="No"),U6,IF(AND(BB4=50,BB5=0,BB6="Yes",BB7="No",BB8="No"),U7,IF(AND(BB4=50,BB5=7.36,BB6="Yes",BB7="No",BB8="No"),U8,IF(AND(BB4=50,BB5=0,BB6="No",BB7="Yes",BB8="No"),U15,IF(AND(BB4=50,BB5=3.68,BB6="No",BB7="Yes",BB8="No"),U16,IF(AND(BB4=50,BB5=7.36,BB6="No",BB7="Yes",BB8="No"),U17,IF(AND(BB4=50,BB5=0,BB6="Yes",BB7="Yes",BB8="No"),U18,IF(AND(BB4=50,BB5=7.36,BB6="Yes",BB7="Yes",BB8="No"),U19,IF(AND(BB4=50,BB5=0,BB6="No",BB7="Yes",BB8="Yes"),U23,IF(AND(BB4=50,BB5=3.68,BB6="No",BB7="Yes",BB8="Yes"),U24,IF(AND(BB4=50,BB5=7.36,BB6="No",BB7="Yes",BB8="Yes"),U25,IF(AND(BB4=50,BB5=0,BB6="Yes",BB7="Yes",BB8="Yes"),U26,IF(AND(BB4=50,BB5=7.36,BB6="Yes",BB7="Yes",BB8="Yes"),U27,"N/A"))))))))))))))))))))))))))))))))))))))))))))))))))))))))))))</f>
        <v>3.0303252444134086</v>
      </c>
      <c r="BC13" s="1"/>
      <c r="BD13" s="1"/>
      <c r="BE13" s="1"/>
      <c r="BF13" s="1"/>
      <c r="BG13" s="1"/>
      <c r="BH13" s="1"/>
      <c r="BI13" s="1"/>
      <c r="BJ13" s="1"/>
      <c r="BK13" s="1"/>
      <c r="BL13" s="1"/>
      <c r="BM13" s="1"/>
      <c r="BN13" s="1"/>
      <c r="BO13" s="1"/>
      <c r="BP13" s="1"/>
      <c r="BQ13" s="1"/>
      <c r="BR13" s="1"/>
      <c r="BS13" s="1"/>
    </row>
    <row r="14" spans="1:71" x14ac:dyDescent="0.25">
      <c r="A14" s="1"/>
      <c r="B14" s="11" t="s">
        <v>0</v>
      </c>
      <c r="C14" s="11" t="s">
        <v>1</v>
      </c>
      <c r="D14" s="11" t="s">
        <v>2</v>
      </c>
      <c r="E14" s="11" t="s">
        <v>3</v>
      </c>
      <c r="F14" s="8"/>
      <c r="G14" s="8"/>
      <c r="H14" s="8"/>
      <c r="I14" s="8"/>
      <c r="J14" s="8"/>
      <c r="K14" s="15" t="s">
        <v>0</v>
      </c>
      <c r="L14" s="15" t="s">
        <v>1</v>
      </c>
      <c r="M14" s="15" t="s">
        <v>2</v>
      </c>
      <c r="N14" s="15" t="s">
        <v>3</v>
      </c>
      <c r="O14" s="1"/>
      <c r="P14" s="1"/>
      <c r="Q14" s="1"/>
      <c r="R14" s="1"/>
      <c r="S14" s="1"/>
      <c r="T14" s="18" t="s">
        <v>21</v>
      </c>
      <c r="U14" s="7">
        <v>1.93</v>
      </c>
      <c r="V14" s="20">
        <f>U14-$U$14</f>
        <v>0</v>
      </c>
      <c r="W14" s="22">
        <v>0</v>
      </c>
      <c r="X14" s="1"/>
      <c r="Y14" s="1"/>
      <c r="Z14" s="1"/>
      <c r="AA14" s="1"/>
      <c r="AB14" s="18" t="s">
        <v>21</v>
      </c>
      <c r="AC14" s="7">
        <v>4.1100000000000003</v>
      </c>
      <c r="AD14" s="20">
        <f>AC14-$AC$14</f>
        <v>0</v>
      </c>
      <c r="AE14" s="22">
        <v>0</v>
      </c>
      <c r="AF14" s="1"/>
      <c r="AG14" s="1"/>
      <c r="AH14" s="18" t="s">
        <v>21</v>
      </c>
      <c r="AI14" s="7">
        <v>1.8</v>
      </c>
      <c r="AJ14" s="20">
        <f>AI14-$AI$14</f>
        <v>0</v>
      </c>
      <c r="AK14" s="22">
        <v>0</v>
      </c>
      <c r="AL14" s="1"/>
      <c r="AM14" s="1"/>
      <c r="AN14" s="18" t="s">
        <v>21</v>
      </c>
      <c r="AO14" s="7">
        <v>1.99</v>
      </c>
      <c r="AP14" s="20">
        <f>AO14-$AO$14</f>
        <v>0</v>
      </c>
      <c r="AQ14" s="22">
        <v>0</v>
      </c>
      <c r="AR14" s="1"/>
      <c r="AS14" s="1"/>
      <c r="AT14" s="18" t="s">
        <v>21</v>
      </c>
      <c r="AU14" s="7">
        <v>2.0699999999999998</v>
      </c>
      <c r="AV14" s="20">
        <f>AU14-$AU$14</f>
        <v>0</v>
      </c>
      <c r="AW14" s="22">
        <v>0</v>
      </c>
      <c r="AX14" s="1"/>
      <c r="AY14" s="1"/>
      <c r="AZ14" s="1"/>
      <c r="BA14" s="1"/>
      <c r="BB14" s="1"/>
      <c r="BC14" s="1"/>
      <c r="BD14" s="1"/>
      <c r="BE14" s="1"/>
      <c r="BF14" s="1"/>
      <c r="BG14" s="1"/>
      <c r="BH14" s="1"/>
      <c r="BI14" s="1"/>
      <c r="BJ14" s="1"/>
      <c r="BK14" s="1"/>
      <c r="BL14" s="1"/>
      <c r="BM14" s="1"/>
      <c r="BN14" s="1"/>
      <c r="BO14" s="1"/>
      <c r="BP14" s="1"/>
      <c r="BQ14" s="1"/>
      <c r="BR14" s="1"/>
      <c r="BS14" s="1"/>
    </row>
    <row r="15" spans="1:71" x14ac:dyDescent="0.25">
      <c r="A15" s="1"/>
      <c r="B15" s="16">
        <v>1</v>
      </c>
      <c r="C15" s="7">
        <v>4.1130000000000004</v>
      </c>
      <c r="D15" s="6">
        <v>0.76900000000000002</v>
      </c>
      <c r="E15" s="21">
        <f>D15/C15</f>
        <v>0.18696814976902504</v>
      </c>
      <c r="F15" s="8"/>
      <c r="G15" s="8"/>
      <c r="H15" s="8"/>
      <c r="I15" s="8"/>
      <c r="J15" s="8"/>
      <c r="K15" s="17">
        <v>1</v>
      </c>
      <c r="L15" s="7">
        <f>C15+2.41</f>
        <v>6.5230000000000006</v>
      </c>
      <c r="M15" s="9">
        <v>1.98</v>
      </c>
      <c r="N15" s="21">
        <f>M15/L15</f>
        <v>0.30354131534569978</v>
      </c>
      <c r="O15" s="1"/>
      <c r="P15" s="7">
        <v>5.7279999999999998</v>
      </c>
      <c r="Q15" s="1"/>
      <c r="R15" s="1"/>
      <c r="S15" s="1"/>
      <c r="T15" s="18" t="s">
        <v>33</v>
      </c>
      <c r="U15" s="7">
        <f>U4*0.61</f>
        <v>1.17669</v>
      </c>
      <c r="V15" s="20">
        <f>U15-$U$14</f>
        <v>-0.75330999999999992</v>
      </c>
      <c r="W15" s="22">
        <f>U15/$U$14</f>
        <v>0.60968393782383423</v>
      </c>
      <c r="X15" s="1"/>
      <c r="Y15" s="1"/>
      <c r="Z15" s="1"/>
      <c r="AA15" s="1"/>
      <c r="AB15" s="18" t="s">
        <v>39</v>
      </c>
      <c r="AC15" s="7">
        <f>AC4*0.61</f>
        <v>2.5089300000000003</v>
      </c>
      <c r="AD15" s="20">
        <f t="shared" ref="AD15:AD19" si="10">AC15-$AC$14</f>
        <v>-1.60107</v>
      </c>
      <c r="AE15" s="22">
        <f>AC15/$AC$14</f>
        <v>0.61044525547445261</v>
      </c>
      <c r="AF15" s="1"/>
      <c r="AG15" s="1"/>
      <c r="AH15" s="18" t="s">
        <v>39</v>
      </c>
      <c r="AI15" s="7">
        <f>AI4*0.61</f>
        <v>1.0973899999999999</v>
      </c>
      <c r="AJ15" s="20">
        <f t="shared" ref="AJ15:AJ19" si="11">AI15-$AI$14</f>
        <v>-0.70261000000000018</v>
      </c>
      <c r="AK15" s="22">
        <f>AI15/$AI$14</f>
        <v>0.60966111111111099</v>
      </c>
      <c r="AL15" s="1"/>
      <c r="AM15" s="1"/>
      <c r="AN15" s="18" t="s">
        <v>39</v>
      </c>
      <c r="AO15" s="7">
        <f>$U$15*(AO14/$U$14)</f>
        <v>1.2132710362694301</v>
      </c>
      <c r="AP15" s="20">
        <f>AO15-$AO$14</f>
        <v>-0.77672896373056988</v>
      </c>
      <c r="AQ15" s="22">
        <f>AO15/$AO$14</f>
        <v>0.60968393782383423</v>
      </c>
      <c r="AR15" s="1"/>
      <c r="AS15" s="1"/>
      <c r="AT15" s="18" t="s">
        <v>39</v>
      </c>
      <c r="AU15" s="7">
        <f>AU4*0.61</f>
        <v>1.2602599999999999</v>
      </c>
      <c r="AV15" s="20">
        <f t="shared" ref="AV15:AV19" si="12">AU15-$AU$14</f>
        <v>-0.8097399999999999</v>
      </c>
      <c r="AW15" s="22">
        <f>AU15/$AU$14</f>
        <v>0.60882125603864734</v>
      </c>
      <c r="AX15" s="1"/>
      <c r="AY15" s="1"/>
      <c r="BA15" s="125" t="s">
        <v>87</v>
      </c>
      <c r="BB15" s="127">
        <f>BB13+ IF(AND(BB10="Yes",BB6="Yes"),(3.68*0.8),0)+ IF(BB9="Yes",(3.68*0.5),0)</f>
        <v>3.0303252444134086</v>
      </c>
      <c r="BC15" s="1"/>
      <c r="BD15" s="1"/>
      <c r="BE15" s="1"/>
      <c r="BF15" s="1"/>
      <c r="BG15" s="1"/>
      <c r="BH15" s="1"/>
      <c r="BI15" s="1"/>
      <c r="BJ15" s="1"/>
      <c r="BK15" s="1"/>
      <c r="BL15" s="1"/>
      <c r="BM15" s="1"/>
      <c r="BN15" s="1"/>
      <c r="BO15" s="1"/>
      <c r="BP15" s="1"/>
      <c r="BQ15" s="1"/>
      <c r="BR15" s="1"/>
      <c r="BS15" s="1"/>
    </row>
    <row r="16" spans="1:71" x14ac:dyDescent="0.25">
      <c r="A16" s="1"/>
      <c r="B16" s="16">
        <v>25</v>
      </c>
      <c r="C16" s="7">
        <v>1.7989999999999999</v>
      </c>
      <c r="D16" s="6">
        <v>0.34300000000000003</v>
      </c>
      <c r="E16" s="21">
        <f t="shared" ref="E16:E19" si="13">D16/C16</f>
        <v>0.19066147859922181</v>
      </c>
      <c r="F16" s="8"/>
      <c r="G16" s="8"/>
      <c r="H16" s="8"/>
      <c r="I16" s="8"/>
      <c r="J16" s="8"/>
      <c r="K16" s="17">
        <v>25</v>
      </c>
      <c r="L16" s="7">
        <f>L15/Q16</f>
        <v>3.0303252444134086</v>
      </c>
      <c r="M16" s="9">
        <v>0.67300000000000004</v>
      </c>
      <c r="N16" s="21">
        <f t="shared" ref="N16:N19" si="14">M16/L16</f>
        <v>0.22208837194644931</v>
      </c>
      <c r="O16" s="1"/>
      <c r="P16" s="7">
        <v>2.661</v>
      </c>
      <c r="Q16" s="1">
        <f>P15/P16</f>
        <v>2.152574220217963</v>
      </c>
      <c r="R16" s="1"/>
      <c r="S16" s="1"/>
      <c r="T16" s="18" t="s">
        <v>34</v>
      </c>
      <c r="U16" s="28">
        <f>U5*0.61</f>
        <v>2.3192200000000001</v>
      </c>
      <c r="V16" s="20">
        <f t="shared" ref="V16:V19" si="15">U16-$U$14</f>
        <v>0.38922000000000012</v>
      </c>
      <c r="W16" s="22">
        <f>U16/$U$14</f>
        <v>1.2016683937823835</v>
      </c>
      <c r="X16" s="1"/>
      <c r="Y16" s="1"/>
      <c r="Z16" s="1"/>
      <c r="AA16" s="1"/>
      <c r="AB16" s="18" t="s">
        <v>34</v>
      </c>
      <c r="AC16" s="7">
        <f t="shared" ref="AC16:AC19" si="16">AC5*0.61</f>
        <v>4.3980999999999995</v>
      </c>
      <c r="AD16" s="20">
        <f t="shared" si="10"/>
        <v>0.28809999999999913</v>
      </c>
      <c r="AE16" s="22">
        <f>AC16/$AC$14</f>
        <v>1.070097323600973</v>
      </c>
      <c r="AF16" s="1"/>
      <c r="AG16" s="1"/>
      <c r="AH16" s="18" t="s">
        <v>34</v>
      </c>
      <c r="AI16" s="7">
        <f t="shared" ref="AI16:AI19" si="17">AI5*0.61</f>
        <v>2.40523</v>
      </c>
      <c r="AJ16" s="20">
        <f t="shared" si="11"/>
        <v>0.60522999999999993</v>
      </c>
      <c r="AK16" s="22">
        <f>AI16/$AI$14</f>
        <v>1.3362388888888888</v>
      </c>
      <c r="AL16" s="1"/>
      <c r="AM16" s="1"/>
      <c r="AN16" s="18" t="s">
        <v>34</v>
      </c>
      <c r="AO16" s="7">
        <f>AO18*AP32</f>
        <v>2.1580284758189512</v>
      </c>
      <c r="AP16" s="20">
        <f t="shared" ref="AP16:AP19" si="18">AO16-$AO$14</f>
        <v>0.1680284758189512</v>
      </c>
      <c r="AQ16" s="22">
        <f>AO16/$AO$14</f>
        <v>1.0844364200095231</v>
      </c>
      <c r="AR16" s="1"/>
      <c r="AS16" s="1"/>
      <c r="AT16" s="18" t="s">
        <v>34</v>
      </c>
      <c r="AU16" s="7">
        <f t="shared" ref="AU16:AU19" si="19">AU5*0.61</f>
        <v>2.2765200000000001</v>
      </c>
      <c r="AV16" s="20">
        <f t="shared" si="12"/>
        <v>0.20652000000000026</v>
      </c>
      <c r="AW16" s="22">
        <f>AU16/$AU$14</f>
        <v>1.0997681159420292</v>
      </c>
      <c r="AX16" s="1"/>
      <c r="AY16" s="1"/>
      <c r="AZ16" s="1"/>
      <c r="BA16" s="1"/>
      <c r="BB16" s="1"/>
      <c r="BC16" s="1"/>
      <c r="BD16" s="1"/>
      <c r="BE16" s="1"/>
      <c r="BF16" s="1"/>
      <c r="BG16" s="1"/>
      <c r="BH16" s="1"/>
      <c r="BI16" s="1"/>
      <c r="BJ16" s="1"/>
      <c r="BK16" s="1"/>
      <c r="BL16" s="1"/>
      <c r="BM16" s="1"/>
      <c r="BN16" s="1"/>
      <c r="BO16" s="1"/>
      <c r="BP16" s="1"/>
      <c r="BQ16" s="1"/>
      <c r="BR16" s="1"/>
      <c r="BS16" s="1"/>
    </row>
    <row r="17" spans="1:71" x14ac:dyDescent="0.25">
      <c r="A17" s="1"/>
      <c r="B17" s="16">
        <v>50</v>
      </c>
      <c r="C17" s="7">
        <v>1.929</v>
      </c>
      <c r="D17" s="6">
        <v>0.35799999999999998</v>
      </c>
      <c r="E17" s="21">
        <f t="shared" si="13"/>
        <v>0.18558838776568168</v>
      </c>
      <c r="F17" s="8"/>
      <c r="G17" s="8"/>
      <c r="H17" s="8"/>
      <c r="I17" s="8"/>
      <c r="J17" s="8"/>
      <c r="K17" s="17">
        <v>50</v>
      </c>
      <c r="L17" s="7">
        <f>L16/Q17</f>
        <v>2.5133137220670396</v>
      </c>
      <c r="M17" s="9">
        <v>0.38700000000000001</v>
      </c>
      <c r="N17" s="21">
        <f t="shared" si="14"/>
        <v>0.15397998132987445</v>
      </c>
      <c r="O17" s="1"/>
      <c r="P17" s="7">
        <v>2.2069999999999999</v>
      </c>
      <c r="Q17" s="1">
        <f t="shared" ref="Q17:Q19" si="20">P16/P17</f>
        <v>1.2057091073855914</v>
      </c>
      <c r="R17" s="1"/>
      <c r="S17" s="1"/>
      <c r="T17" s="18" t="s">
        <v>35</v>
      </c>
      <c r="U17" s="28">
        <f t="shared" ref="U17:U19" si="21">U6*0.61</f>
        <v>3.3154230984743402</v>
      </c>
      <c r="V17" s="20">
        <f t="shared" si="15"/>
        <v>1.3854230984743403</v>
      </c>
      <c r="W17" s="22">
        <f t="shared" ref="W17:W19" si="22">U17/$U$14</f>
        <v>1.7178358023183111</v>
      </c>
      <c r="X17" s="1"/>
      <c r="Y17" s="1"/>
      <c r="Z17" s="1"/>
      <c r="AA17" s="1"/>
      <c r="AB17" s="18" t="s">
        <v>35</v>
      </c>
      <c r="AC17" s="7">
        <f t="shared" si="16"/>
        <v>6.2872699999999986</v>
      </c>
      <c r="AD17" s="20">
        <f t="shared" si="10"/>
        <v>2.1772699999999983</v>
      </c>
      <c r="AE17" s="22">
        <f t="shared" ref="AE17:AE19" si="23">AC17/$AC$14</f>
        <v>1.5297493917274934</v>
      </c>
      <c r="AF17" s="1"/>
      <c r="AG17" s="1"/>
      <c r="AH17" s="18" t="s">
        <v>35</v>
      </c>
      <c r="AI17" s="7">
        <f t="shared" si="17"/>
        <v>3.4383780319001382</v>
      </c>
      <c r="AJ17" s="20">
        <f t="shared" si="11"/>
        <v>1.6383780319001382</v>
      </c>
      <c r="AK17" s="22">
        <f t="shared" ref="AK17:AK19" si="24">AI17/$AI$14</f>
        <v>1.9102100177222989</v>
      </c>
      <c r="AL17" s="1"/>
      <c r="AM17" s="1"/>
      <c r="AN17" s="18" t="s">
        <v>35</v>
      </c>
      <c r="AO17" s="7">
        <f>AO18*AP33</f>
        <v>3.0849929958759947</v>
      </c>
      <c r="AP17" s="20">
        <f t="shared" si="18"/>
        <v>1.0949929958759947</v>
      </c>
      <c r="AQ17" s="22">
        <f>AO17/$AO$14</f>
        <v>1.5502477366211029</v>
      </c>
      <c r="AR17" s="1"/>
      <c r="AS17" s="1"/>
      <c r="AT17" s="18" t="s">
        <v>35</v>
      </c>
      <c r="AU17" s="7">
        <f t="shared" si="19"/>
        <v>3.2543816421636609</v>
      </c>
      <c r="AV17" s="20">
        <f t="shared" si="12"/>
        <v>1.184381642163661</v>
      </c>
      <c r="AW17" s="22">
        <f>AU17/$AU$14</f>
        <v>1.5721650445235078</v>
      </c>
      <c r="AX17" s="1"/>
      <c r="AY17" s="1"/>
      <c r="AZ17" s="1"/>
      <c r="BA17" s="125" t="s">
        <v>126</v>
      </c>
      <c r="BB17" s="128">
        <f>IF(AND(BB11="Yes",BB5=7.36,BB7="No",BB6= "Yes"),(BB15-3.5),BB15)</f>
        <v>3.0303252444134086</v>
      </c>
      <c r="BC17" s="1"/>
      <c r="BD17" s="1"/>
      <c r="BE17" s="1"/>
      <c r="BF17" s="1"/>
      <c r="BG17" s="1"/>
      <c r="BH17" s="1"/>
      <c r="BI17" s="1"/>
      <c r="BJ17" s="1"/>
      <c r="BK17" s="1"/>
      <c r="BL17" s="1"/>
      <c r="BM17" s="1"/>
      <c r="BN17" s="1"/>
      <c r="BO17" s="1"/>
      <c r="BP17" s="1"/>
      <c r="BQ17" s="1"/>
      <c r="BR17" s="1"/>
      <c r="BS17" s="1"/>
    </row>
    <row r="18" spans="1:71" x14ac:dyDescent="0.25">
      <c r="A18" s="1"/>
      <c r="B18" s="16">
        <v>75</v>
      </c>
      <c r="C18" s="7">
        <v>1.9930000000000001</v>
      </c>
      <c r="D18" s="6">
        <v>0.311</v>
      </c>
      <c r="E18" s="21">
        <f t="shared" si="13"/>
        <v>0.15604616156547918</v>
      </c>
      <c r="F18" s="8"/>
      <c r="G18" s="8"/>
      <c r="H18" s="8"/>
      <c r="I18" s="8"/>
      <c r="J18" s="8"/>
      <c r="K18" s="17">
        <v>75</v>
      </c>
      <c r="L18" s="7">
        <f t="shared" ref="L18:L19" si="25">L17/Q18</f>
        <v>2.3322458100558663</v>
      </c>
      <c r="M18" s="9">
        <v>0.221</v>
      </c>
      <c r="N18" s="21">
        <f t="shared" si="14"/>
        <v>9.4758450866165855E-2</v>
      </c>
      <c r="O18" s="1"/>
      <c r="P18" s="7">
        <v>2.048</v>
      </c>
      <c r="Q18" s="1">
        <f t="shared" si="20"/>
        <v>1.07763671875</v>
      </c>
      <c r="R18" s="1"/>
      <c r="S18" s="1"/>
      <c r="T18" s="18" t="s">
        <v>36</v>
      </c>
      <c r="U18" s="28">
        <f t="shared" si="21"/>
        <v>1.5331213704608941</v>
      </c>
      <c r="V18" s="20">
        <f t="shared" si="15"/>
        <v>-0.3968786295391058</v>
      </c>
      <c r="W18" s="22">
        <f t="shared" si="22"/>
        <v>0.79436340438388298</v>
      </c>
      <c r="X18" s="1"/>
      <c r="Y18" s="1"/>
      <c r="Z18" s="1"/>
      <c r="AA18" s="1"/>
      <c r="AB18" s="18" t="s">
        <v>36</v>
      </c>
      <c r="AC18" s="7">
        <f t="shared" si="16"/>
        <v>3.9790300000000003</v>
      </c>
      <c r="AD18" s="20">
        <f t="shared" si="10"/>
        <v>-0.13097000000000003</v>
      </c>
      <c r="AE18" s="22">
        <f t="shared" si="23"/>
        <v>0.96813381995133818</v>
      </c>
      <c r="AF18" s="1"/>
      <c r="AG18" s="1"/>
      <c r="AH18" s="18" t="s">
        <v>36</v>
      </c>
      <c r="AI18" s="7">
        <f t="shared" si="17"/>
        <v>1.8484983990921793</v>
      </c>
      <c r="AJ18" s="20">
        <f t="shared" si="11"/>
        <v>4.8498399092179234E-2</v>
      </c>
      <c r="AK18" s="22">
        <f>AI18/$AI$14</f>
        <v>1.0269435550512107</v>
      </c>
      <c r="AL18" s="1"/>
      <c r="AM18" s="1"/>
      <c r="AN18" s="18" t="s">
        <v>36</v>
      </c>
      <c r="AO18" s="7">
        <f>$U$18*(AO14/$U$14)</f>
        <v>1.5807831747239274</v>
      </c>
      <c r="AP18" s="20">
        <f t="shared" si="18"/>
        <v>-0.40921682527607262</v>
      </c>
      <c r="AQ18" s="22">
        <f>AO18/$AO$14</f>
        <v>0.79436340438388309</v>
      </c>
      <c r="AR18" s="1"/>
      <c r="AS18" s="1"/>
      <c r="AT18" s="18" t="s">
        <v>36</v>
      </c>
      <c r="AU18" s="7">
        <f t="shared" si="19"/>
        <v>1.3754328561452516</v>
      </c>
      <c r="AV18" s="20">
        <f t="shared" si="12"/>
        <v>-0.69456714385474827</v>
      </c>
      <c r="AW18" s="22">
        <f>AU18/$AU$14</f>
        <v>0.66446031697838248</v>
      </c>
      <c r="AX18" s="1"/>
      <c r="AY18" s="1"/>
      <c r="AZ18" s="1"/>
      <c r="BA18" s="1"/>
      <c r="BB18" s="1"/>
      <c r="BC18" s="1"/>
      <c r="BD18" s="1"/>
      <c r="BF18" s="1"/>
      <c r="BG18" s="1"/>
      <c r="BH18" s="1"/>
      <c r="BI18" s="1"/>
      <c r="BJ18" s="1"/>
      <c r="BK18" s="1"/>
      <c r="BL18" s="1"/>
      <c r="BM18" s="1"/>
      <c r="BN18" s="1"/>
      <c r="BO18" s="1"/>
      <c r="BP18" s="1"/>
      <c r="BQ18" s="1"/>
      <c r="BR18" s="1"/>
      <c r="BS18" s="1"/>
    </row>
    <row r="19" spans="1:71" x14ac:dyDescent="0.25">
      <c r="A19" s="1"/>
      <c r="B19" s="16">
        <v>100</v>
      </c>
      <c r="C19" s="7">
        <v>2.0659999999999998</v>
      </c>
      <c r="D19" s="6">
        <v>0.22900000000000001</v>
      </c>
      <c r="E19" s="21">
        <f t="shared" si="13"/>
        <v>0.11084220716360117</v>
      </c>
      <c r="F19" s="8"/>
      <c r="G19" s="8"/>
      <c r="H19" s="8"/>
      <c r="I19" s="8"/>
      <c r="J19" s="8"/>
      <c r="K19" s="17">
        <v>100</v>
      </c>
      <c r="L19" s="7">
        <f t="shared" si="25"/>
        <v>2.2548079608938552</v>
      </c>
      <c r="M19" s="9">
        <v>0.128</v>
      </c>
      <c r="N19" s="21">
        <f t="shared" si="14"/>
        <v>5.6767583856346684E-2</v>
      </c>
      <c r="O19" s="1"/>
      <c r="P19" s="7">
        <v>1.98</v>
      </c>
      <c r="Q19" s="1">
        <f t="shared" si="20"/>
        <v>1.0343434343434343</v>
      </c>
      <c r="R19" s="1"/>
      <c r="S19" s="1"/>
      <c r="T19" s="18" t="s">
        <v>58</v>
      </c>
      <c r="U19" s="28">
        <f t="shared" si="21"/>
        <v>3.4751892620631475</v>
      </c>
      <c r="V19" s="20">
        <f t="shared" si="15"/>
        <v>1.5451892620631476</v>
      </c>
      <c r="W19" s="22">
        <f t="shared" si="22"/>
        <v>1.80061619796018</v>
      </c>
      <c r="X19" s="1"/>
      <c r="Y19" s="1"/>
      <c r="Z19" s="1"/>
      <c r="AA19" s="1"/>
      <c r="AB19" s="18" t="s">
        <v>58</v>
      </c>
      <c r="AC19" s="7">
        <f t="shared" si="16"/>
        <v>7.757369999999999</v>
      </c>
      <c r="AD19" s="20">
        <f t="shared" si="10"/>
        <v>3.6473699999999987</v>
      </c>
      <c r="AE19" s="22">
        <f t="shared" si="23"/>
        <v>1.8874379562043793</v>
      </c>
      <c r="AF19" s="1"/>
      <c r="AG19" s="1"/>
      <c r="AH19" s="18" t="s">
        <v>58</v>
      </c>
      <c r="AI19" s="7">
        <f t="shared" si="17"/>
        <v>3.897068292872472</v>
      </c>
      <c r="AJ19" s="20">
        <f t="shared" si="11"/>
        <v>2.0970682928724722</v>
      </c>
      <c r="AK19" s="22">
        <f t="shared" si="24"/>
        <v>2.1650379404847064</v>
      </c>
      <c r="AL19" s="1"/>
      <c r="AM19" s="1"/>
      <c r="AN19" s="18" t="s">
        <v>58</v>
      </c>
      <c r="AO19" s="7">
        <f>AO18*AP34</f>
        <v>3.1320483235941654</v>
      </c>
      <c r="AP19" s="20">
        <f t="shared" si="18"/>
        <v>1.1420483235941654</v>
      </c>
      <c r="AQ19" s="22">
        <f>AO19/$AO$14</f>
        <v>1.5738936299468167</v>
      </c>
      <c r="AR19" s="1"/>
      <c r="AS19" s="1"/>
      <c r="AT19" s="18" t="s">
        <v>58</v>
      </c>
      <c r="AU19" s="7">
        <f t="shared" si="19"/>
        <v>3.2592698022413376</v>
      </c>
      <c r="AV19" s="20">
        <f t="shared" si="12"/>
        <v>1.1892698022413377</v>
      </c>
      <c r="AW19" s="22">
        <f>AU19/$AU$14</f>
        <v>1.5745264745127237</v>
      </c>
      <c r="AX19" s="1"/>
      <c r="AY19" s="1"/>
      <c r="AZ19" s="1"/>
      <c r="BA19" s="1"/>
      <c r="BB19" s="1"/>
      <c r="BC19" s="1"/>
      <c r="BD19" s="1"/>
      <c r="BE19" s="1"/>
      <c r="BF19" s="1"/>
      <c r="BG19" s="1"/>
      <c r="BH19" s="1"/>
      <c r="BI19" s="1"/>
      <c r="BJ19" s="1"/>
      <c r="BK19" s="1"/>
      <c r="BL19" s="1"/>
      <c r="BM19" s="1"/>
      <c r="BN19" s="1"/>
      <c r="BO19" s="1"/>
      <c r="BP19" s="1"/>
      <c r="BQ19" s="1"/>
      <c r="BR19" s="1"/>
      <c r="BS19" s="1"/>
    </row>
    <row r="20" spans="1:71" x14ac:dyDescent="0.25">
      <c r="A20" s="1"/>
      <c r="B20" s="8"/>
      <c r="C20" s="8"/>
      <c r="D20" s="8"/>
      <c r="E20" s="8"/>
      <c r="F20" s="8"/>
      <c r="G20" s="8"/>
      <c r="H20" s="8"/>
      <c r="I20" s="8"/>
      <c r="J20" s="8"/>
      <c r="K20" s="12"/>
      <c r="L20" s="12"/>
      <c r="M20" s="12"/>
      <c r="N20" s="1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x14ac:dyDescent="0.25">
      <c r="A21" s="1"/>
      <c r="B21" s="8" t="s">
        <v>6</v>
      </c>
      <c r="C21" s="8"/>
      <c r="D21" s="8"/>
      <c r="E21" s="8"/>
      <c r="F21" s="8"/>
      <c r="G21" s="8"/>
      <c r="H21" s="8"/>
      <c r="I21" s="8"/>
      <c r="J21" s="1"/>
      <c r="K21" s="474" t="s">
        <v>205</v>
      </c>
      <c r="L21" s="474"/>
      <c r="M21" s="474"/>
      <c r="N21" s="474"/>
      <c r="P21" s="1"/>
      <c r="Q21" s="1"/>
      <c r="R21" s="1"/>
      <c r="S21" s="1"/>
      <c r="T21" s="19" t="s">
        <v>23</v>
      </c>
      <c r="U21" s="19" t="s">
        <v>8</v>
      </c>
      <c r="V21" s="19" t="s">
        <v>12</v>
      </c>
      <c r="W21" s="19" t="s">
        <v>13</v>
      </c>
      <c r="X21" s="1"/>
      <c r="Y21" s="1"/>
      <c r="Z21" s="1"/>
      <c r="AA21" s="1"/>
      <c r="AB21" s="19" t="s">
        <v>32</v>
      </c>
      <c r="AC21" s="19" t="s">
        <v>8</v>
      </c>
      <c r="AD21" s="19" t="s">
        <v>12</v>
      </c>
      <c r="AE21" s="19" t="s">
        <v>13</v>
      </c>
      <c r="AF21" s="1"/>
      <c r="AG21" s="1"/>
      <c r="AH21" s="19" t="s">
        <v>44</v>
      </c>
      <c r="AI21" s="19" t="s">
        <v>8</v>
      </c>
      <c r="AJ21" s="19" t="s">
        <v>12</v>
      </c>
      <c r="AK21" s="19" t="s">
        <v>13</v>
      </c>
      <c r="AL21" s="1"/>
      <c r="AM21" s="1"/>
      <c r="AN21" s="19" t="s">
        <v>46</v>
      </c>
      <c r="AO21" s="19" t="s">
        <v>8</v>
      </c>
      <c r="AP21" s="19" t="s">
        <v>12</v>
      </c>
      <c r="AQ21" s="19" t="s">
        <v>13</v>
      </c>
      <c r="AR21" s="1"/>
      <c r="AS21" s="1"/>
      <c r="AT21" s="19" t="s">
        <v>48</v>
      </c>
      <c r="AU21" s="19" t="s">
        <v>8</v>
      </c>
      <c r="AV21" s="19" t="s">
        <v>12</v>
      </c>
      <c r="AW21" s="19" t="s">
        <v>13</v>
      </c>
      <c r="AX21" s="1"/>
      <c r="AY21" s="1"/>
      <c r="AZ21" s="1"/>
      <c r="BA21" s="1"/>
      <c r="BB21" s="1"/>
      <c r="BC21" s="1"/>
      <c r="BD21" s="1"/>
      <c r="BE21" s="1"/>
      <c r="BF21" s="1"/>
      <c r="BG21" s="1"/>
      <c r="BH21" s="1"/>
      <c r="BI21" s="1"/>
      <c r="BJ21" s="1"/>
      <c r="BK21" s="1"/>
      <c r="BL21" s="1"/>
      <c r="BM21" s="1"/>
      <c r="BN21" s="1"/>
      <c r="BO21" s="1"/>
      <c r="BP21" s="1"/>
      <c r="BQ21" s="1"/>
      <c r="BR21" s="1"/>
      <c r="BS21" s="1"/>
    </row>
    <row r="22" spans="1:71" x14ac:dyDescent="0.25">
      <c r="A22" s="1"/>
      <c r="B22" s="11" t="s">
        <v>0</v>
      </c>
      <c r="C22" s="11" t="s">
        <v>1</v>
      </c>
      <c r="D22" s="11" t="s">
        <v>2</v>
      </c>
      <c r="E22" s="11" t="s">
        <v>3</v>
      </c>
      <c r="F22" s="8"/>
      <c r="G22" s="8"/>
      <c r="H22" s="8"/>
      <c r="I22" s="8"/>
      <c r="J22" s="1"/>
      <c r="K22" s="15" t="s">
        <v>0</v>
      </c>
      <c r="L22" s="15" t="s">
        <v>1</v>
      </c>
      <c r="M22" s="15" t="s">
        <v>2</v>
      </c>
      <c r="N22" s="15" t="s">
        <v>3</v>
      </c>
      <c r="O22" s="475" t="s">
        <v>211</v>
      </c>
      <c r="P22" s="1"/>
      <c r="Q22" s="1"/>
      <c r="R22" s="1"/>
      <c r="S22" s="1"/>
      <c r="T22" s="18" t="s">
        <v>21</v>
      </c>
      <c r="U22" s="7">
        <v>1.93</v>
      </c>
      <c r="V22" s="20">
        <v>0</v>
      </c>
      <c r="W22" s="22">
        <v>0</v>
      </c>
      <c r="X22" s="1"/>
      <c r="Y22" s="1"/>
      <c r="Z22" s="1"/>
      <c r="AA22" s="1"/>
      <c r="AB22" s="18" t="s">
        <v>21</v>
      </c>
      <c r="AC22" s="7">
        <v>4.1100000000000003</v>
      </c>
      <c r="AD22" s="20">
        <v>0</v>
      </c>
      <c r="AE22" s="22">
        <v>0</v>
      </c>
      <c r="AF22" s="1"/>
      <c r="AG22" s="1"/>
      <c r="AH22" s="18" t="s">
        <v>21</v>
      </c>
      <c r="AI22" s="7">
        <v>1.8</v>
      </c>
      <c r="AJ22" s="20">
        <v>0</v>
      </c>
      <c r="AK22" s="22">
        <v>0</v>
      </c>
      <c r="AL22" s="1"/>
      <c r="AM22" s="1"/>
      <c r="AN22" s="18" t="s">
        <v>21</v>
      </c>
      <c r="AO22" s="7">
        <v>1.99</v>
      </c>
      <c r="AP22" s="20">
        <v>0</v>
      </c>
      <c r="AQ22" s="22">
        <v>0</v>
      </c>
      <c r="AR22" s="1"/>
      <c r="AS22" s="1"/>
      <c r="AT22" s="18" t="s">
        <v>21</v>
      </c>
      <c r="AU22" s="7">
        <v>2.0699999999999998</v>
      </c>
      <c r="AV22" s="20">
        <v>0</v>
      </c>
      <c r="AW22" s="22">
        <v>0</v>
      </c>
      <c r="AX22" s="1"/>
      <c r="AY22" s="1"/>
      <c r="AZ22" s="1"/>
      <c r="BA22" s="1"/>
      <c r="BB22" s="1"/>
      <c r="BC22" s="1"/>
      <c r="BD22" s="1"/>
      <c r="BE22" s="1"/>
      <c r="BF22" s="1"/>
      <c r="BG22" s="1"/>
      <c r="BH22" s="1"/>
      <c r="BI22" s="1"/>
      <c r="BJ22" s="1"/>
      <c r="BK22" s="1"/>
      <c r="BL22" s="1"/>
      <c r="BM22" s="1"/>
      <c r="BN22" s="1"/>
      <c r="BO22" s="1"/>
      <c r="BP22" s="1"/>
      <c r="BQ22" s="1"/>
      <c r="BR22" s="1"/>
      <c r="BS22" s="1"/>
    </row>
    <row r="23" spans="1:71" x14ac:dyDescent="0.25">
      <c r="A23" s="1"/>
      <c r="B23" s="16">
        <v>1</v>
      </c>
      <c r="C23" s="7">
        <v>7.21</v>
      </c>
      <c r="D23" s="6">
        <v>0.9</v>
      </c>
      <c r="E23" s="21">
        <f>D23/C23</f>
        <v>0.12482662968099861</v>
      </c>
      <c r="F23" s="8"/>
      <c r="G23" s="8"/>
      <c r="H23" s="8"/>
      <c r="I23" s="8"/>
      <c r="J23" s="1"/>
      <c r="K23" s="17">
        <v>1</v>
      </c>
      <c r="L23" s="7">
        <f>L15+7.36*$K$44</f>
        <v>12.716999999999999</v>
      </c>
      <c r="M23" s="9">
        <f>L23*N23</f>
        <v>2.7237775784522613</v>
      </c>
      <c r="N23" s="21">
        <f>(N15+E23)/2</f>
        <v>0.2141839725133492</v>
      </c>
      <c r="O23" s="475"/>
      <c r="P23" s="1"/>
      <c r="Q23" s="1"/>
      <c r="R23" s="1"/>
      <c r="S23" s="1"/>
      <c r="T23" s="18" t="s">
        <v>28</v>
      </c>
      <c r="U23" s="7">
        <f>U15*0.97</f>
        <v>1.1413892999999999</v>
      </c>
      <c r="V23" s="20">
        <f>U23-$U$22</f>
        <v>-0.7886107</v>
      </c>
      <c r="W23" s="22">
        <f>U23/$U$14</f>
        <v>0.59139341968911918</v>
      </c>
      <c r="X23" s="1"/>
      <c r="Y23" s="1"/>
      <c r="Z23" s="1"/>
      <c r="AA23" s="1"/>
      <c r="AB23" s="18" t="s">
        <v>28</v>
      </c>
      <c r="AC23" s="7">
        <f>AC15*0.97</f>
        <v>2.4336621000000003</v>
      </c>
      <c r="AD23" s="20">
        <f t="shared" ref="AD23:AD27" si="26">AC23-$AC$14</f>
        <v>-1.6763379</v>
      </c>
      <c r="AE23" s="22">
        <f>AC23/$AC$14</f>
        <v>0.59213189781021902</v>
      </c>
      <c r="AF23" s="1"/>
      <c r="AG23" s="1"/>
      <c r="AH23" s="18" t="s">
        <v>28</v>
      </c>
      <c r="AI23" s="7">
        <f>AI15*0.97</f>
        <v>1.0644682999999999</v>
      </c>
      <c r="AJ23" s="20">
        <f>AI23-$AI$14</f>
        <v>-0.73553170000000012</v>
      </c>
      <c r="AK23" s="22">
        <f>AI23/$AI$14</f>
        <v>0.59137127777777776</v>
      </c>
      <c r="AL23" s="1"/>
      <c r="AM23" s="1"/>
      <c r="AN23" s="18" t="s">
        <v>28</v>
      </c>
      <c r="AO23" s="7">
        <f>0.38*AP31</f>
        <v>0.63111666666666666</v>
      </c>
      <c r="AP23" s="20">
        <f>AO23-$AO$14</f>
        <v>-1.3588833333333334</v>
      </c>
      <c r="AQ23" s="22">
        <f>AO23/$AO$14</f>
        <v>0.31714405360134001</v>
      </c>
      <c r="AR23" s="1"/>
      <c r="AS23" s="1"/>
      <c r="AT23" s="18" t="s">
        <v>28</v>
      </c>
      <c r="AU23" s="7">
        <f>AU15*0.97</f>
        <v>1.2224522</v>
      </c>
      <c r="AV23" s="20">
        <f>AU23-$AU$14</f>
        <v>-0.84754779999999985</v>
      </c>
      <c r="AW23" s="22">
        <f>AU23/$AO$14</f>
        <v>0.61429758793969846</v>
      </c>
      <c r="AX23" s="1"/>
      <c r="AY23" s="1"/>
      <c r="AZ23" s="1"/>
      <c r="BB23" s="1"/>
      <c r="BC23" s="1"/>
      <c r="BD23" s="1"/>
      <c r="BE23" s="1"/>
      <c r="BF23" s="1"/>
      <c r="BG23" s="1"/>
      <c r="BH23" s="1"/>
      <c r="BI23" s="1"/>
      <c r="BJ23" s="1"/>
      <c r="BK23" s="1"/>
      <c r="BL23" s="1"/>
      <c r="BM23" s="1"/>
      <c r="BN23" s="1"/>
      <c r="BO23" s="1"/>
      <c r="BP23" s="1"/>
      <c r="BQ23" s="1"/>
      <c r="BR23" s="1"/>
      <c r="BS23" s="1"/>
    </row>
    <row r="24" spans="1:71" x14ac:dyDescent="0.25">
      <c r="A24" s="1"/>
      <c r="B24" s="16">
        <v>25</v>
      </c>
      <c r="C24" s="7">
        <v>3.9430000000000001</v>
      </c>
      <c r="D24" s="6">
        <v>0.36299999999999999</v>
      </c>
      <c r="E24" s="21">
        <f t="shared" ref="E24:E27" si="27">D24/C24</f>
        <v>9.2061881815876226E-2</v>
      </c>
      <c r="F24" s="8"/>
      <c r="G24" s="8"/>
      <c r="H24" s="8"/>
      <c r="I24" s="8"/>
      <c r="J24" s="1"/>
      <c r="K24" s="17">
        <v>25</v>
      </c>
      <c r="L24" s="7">
        <f>L23/H46</f>
        <v>6.3886365456925773</v>
      </c>
      <c r="M24" s="9">
        <f>L24*N24</f>
        <v>1.0034958960122951</v>
      </c>
      <c r="N24" s="21">
        <f>(N16+E24)/2</f>
        <v>0.15707512688116276</v>
      </c>
      <c r="O24" s="475"/>
      <c r="P24" s="1"/>
      <c r="Q24" s="1"/>
      <c r="R24" s="1"/>
      <c r="S24" s="1"/>
      <c r="T24" s="18" t="s">
        <v>25</v>
      </c>
      <c r="U24" s="7">
        <f t="shared" ref="U24:U27" si="28">U16*0.97</f>
        <v>2.2496434000000001</v>
      </c>
      <c r="V24" s="20">
        <f t="shared" ref="V24:V27" si="29">U24-$U$22</f>
        <v>0.31964340000000013</v>
      </c>
      <c r="W24" s="22">
        <f>U24/$U$14</f>
        <v>1.1656183419689119</v>
      </c>
      <c r="X24" s="1"/>
      <c r="Y24" s="1"/>
      <c r="Z24" s="1"/>
      <c r="AA24" s="1"/>
      <c r="AB24" s="18" t="s">
        <v>25</v>
      </c>
      <c r="AC24" s="7">
        <f t="shared" ref="AC24:AC27" si="30">AC16*0.97</f>
        <v>4.2661569999999998</v>
      </c>
      <c r="AD24" s="20">
        <f t="shared" si="26"/>
        <v>0.15615699999999944</v>
      </c>
      <c r="AE24" s="22">
        <f>AC24/$AC$14</f>
        <v>1.0379944038929438</v>
      </c>
      <c r="AF24" s="1"/>
      <c r="AG24" s="1"/>
      <c r="AH24" s="18" t="s">
        <v>25</v>
      </c>
      <c r="AI24" s="7">
        <f t="shared" ref="AI24:AI27" si="31">AI16*0.97</f>
        <v>2.3330731</v>
      </c>
      <c r="AJ24" s="20">
        <f t="shared" ref="AJ24:AJ27" si="32">AI24-$AI$14</f>
        <v>0.53307309999999997</v>
      </c>
      <c r="AK24" s="22">
        <f>AI24/$AI$14</f>
        <v>1.2961517222222223</v>
      </c>
      <c r="AL24" s="1"/>
      <c r="AM24" s="1"/>
      <c r="AN24" s="18" t="s">
        <v>25</v>
      </c>
      <c r="AO24" s="28">
        <f>AO26*AP32</f>
        <v>2.4486948867939908</v>
      </c>
      <c r="AP24" s="20">
        <f t="shared" ref="AP24:AP27" si="33">AO24-$AO$14</f>
        <v>0.45869488679399084</v>
      </c>
      <c r="AQ24" s="22">
        <f>AO24/$AO$14</f>
        <v>1.2304999431125583</v>
      </c>
      <c r="AR24" s="1"/>
      <c r="AS24" s="1"/>
      <c r="AT24" s="18" t="s">
        <v>25</v>
      </c>
      <c r="AU24" s="7">
        <f t="shared" ref="AU24:AU27" si="34">AU16*0.97</f>
        <v>2.2082244000000002</v>
      </c>
      <c r="AV24" s="20">
        <f t="shared" ref="AV24:AV27" si="35">AU24-$AU$14</f>
        <v>0.13822440000000036</v>
      </c>
      <c r="AW24" s="22">
        <f>AU24/$AO$14</f>
        <v>1.109660502512563</v>
      </c>
      <c r="AX24" s="1"/>
      <c r="AY24" s="1"/>
      <c r="AZ24" s="1"/>
      <c r="BA24" s="1"/>
      <c r="BB24" s="1"/>
      <c r="BC24" s="1"/>
      <c r="BD24" s="1"/>
      <c r="BE24" s="1"/>
      <c r="BF24" s="1"/>
      <c r="BG24" s="1"/>
      <c r="BH24" s="1"/>
      <c r="BI24" s="1"/>
      <c r="BJ24" s="1"/>
      <c r="BK24" s="1"/>
      <c r="BL24" s="1"/>
      <c r="BM24" s="1"/>
      <c r="BN24" s="1"/>
      <c r="BO24" s="1"/>
      <c r="BP24" s="1"/>
      <c r="BQ24" s="1"/>
      <c r="BR24" s="1"/>
      <c r="BS24" s="1"/>
    </row>
    <row r="25" spans="1:71" ht="15" customHeight="1" x14ac:dyDescent="0.25">
      <c r="A25" s="1"/>
      <c r="B25" s="16">
        <v>50</v>
      </c>
      <c r="C25" s="7">
        <v>3.802</v>
      </c>
      <c r="D25" s="6">
        <v>0.15</v>
      </c>
      <c r="E25" s="21">
        <f t="shared" si="27"/>
        <v>3.9452919516044183E-2</v>
      </c>
      <c r="F25" s="8"/>
      <c r="G25" s="8"/>
      <c r="H25" s="8"/>
      <c r="I25" s="8"/>
      <c r="J25" s="1"/>
      <c r="K25" s="17">
        <v>50</v>
      </c>
      <c r="L25" s="7">
        <f>L24/H47</f>
        <v>5.6970315771527007</v>
      </c>
      <c r="M25" s="9">
        <f t="shared" ref="M25:M27" si="36">L25*N25</f>
        <v>0.55099667208972292</v>
      </c>
      <c r="N25" s="21">
        <f>(N17+E25)/2</f>
        <v>9.6716450422959316E-2</v>
      </c>
      <c r="O25" s="475"/>
      <c r="P25" s="1"/>
      <c r="Q25" s="1"/>
      <c r="R25" s="1"/>
      <c r="S25" s="1"/>
      <c r="T25" s="18" t="s">
        <v>26</v>
      </c>
      <c r="U25" s="7">
        <f t="shared" si="28"/>
        <v>3.2159604055201099</v>
      </c>
      <c r="V25" s="20">
        <f t="shared" si="29"/>
        <v>1.2859604055201099</v>
      </c>
      <c r="W25" s="22">
        <f t="shared" ref="W25:W27" si="37">U25/$U$14</f>
        <v>1.6663007282487616</v>
      </c>
      <c r="X25" s="1"/>
      <c r="Y25" s="1"/>
      <c r="Z25" s="1"/>
      <c r="AA25" s="1"/>
      <c r="AB25" s="18" t="s">
        <v>26</v>
      </c>
      <c r="AC25" s="7">
        <f t="shared" si="30"/>
        <v>6.0986518999999983</v>
      </c>
      <c r="AD25" s="20">
        <f t="shared" si="26"/>
        <v>1.988651899999998</v>
      </c>
      <c r="AE25" s="22">
        <f t="shared" ref="AE25:AE27" si="38">AC25/$AC$14</f>
        <v>1.4838569099756687</v>
      </c>
      <c r="AF25" s="1"/>
      <c r="AG25" s="1"/>
      <c r="AH25" s="18" t="s">
        <v>26</v>
      </c>
      <c r="AI25" s="7">
        <f t="shared" si="31"/>
        <v>3.3352266909431338</v>
      </c>
      <c r="AJ25" s="20">
        <f t="shared" si="32"/>
        <v>1.5352266909431338</v>
      </c>
      <c r="AK25" s="22">
        <f>AI25/$AI$14</f>
        <v>1.85290371719063</v>
      </c>
      <c r="AL25" s="1"/>
      <c r="AM25" s="1"/>
      <c r="AN25" s="18" t="s">
        <v>26</v>
      </c>
      <c r="AO25" s="28">
        <f>AO26*AP33</f>
        <v>3.5005129262393422</v>
      </c>
      <c r="AP25" s="20">
        <f t="shared" si="33"/>
        <v>1.5105129262393422</v>
      </c>
      <c r="AQ25" s="22">
        <f>AO25/$AO$14</f>
        <v>1.7590517217283126</v>
      </c>
      <c r="AR25" s="1"/>
      <c r="AS25" s="1"/>
      <c r="AT25" s="18" t="s">
        <v>26</v>
      </c>
      <c r="AU25" s="7">
        <f t="shared" si="34"/>
        <v>3.1567501928987509</v>
      </c>
      <c r="AV25" s="20">
        <f t="shared" si="35"/>
        <v>1.0867501928987511</v>
      </c>
      <c r="AW25" s="22">
        <f>AU25/$AO$14</f>
        <v>1.5863066295973622</v>
      </c>
      <c r="AX25" s="1"/>
      <c r="AY25" s="1"/>
      <c r="AZ25" s="1"/>
      <c r="BA25" s="1"/>
      <c r="BB25" s="1"/>
      <c r="BC25" s="1"/>
      <c r="BD25" s="1"/>
      <c r="BE25" s="1"/>
      <c r="BF25" s="1"/>
      <c r="BG25" s="1"/>
      <c r="BH25" s="1"/>
      <c r="BI25" s="1"/>
      <c r="BJ25" s="1"/>
      <c r="BK25" s="1"/>
      <c r="BL25" s="1"/>
      <c r="BM25" s="1"/>
      <c r="BN25" s="1"/>
      <c r="BO25" s="1"/>
      <c r="BP25" s="1"/>
      <c r="BQ25" s="1"/>
      <c r="BR25" s="1"/>
      <c r="BS25" s="1"/>
    </row>
    <row r="26" spans="1:71" x14ac:dyDescent="0.25">
      <c r="A26" s="1"/>
      <c r="B26" s="16">
        <v>75</v>
      </c>
      <c r="C26" s="7">
        <v>3.7570000000000001</v>
      </c>
      <c r="D26" s="6">
        <v>8.6999999999999994E-2</v>
      </c>
      <c r="E26" s="21">
        <f t="shared" si="27"/>
        <v>2.3156774021825921E-2</v>
      </c>
      <c r="F26" s="8"/>
      <c r="G26" s="8"/>
      <c r="H26" s="8"/>
      <c r="I26" s="8"/>
      <c r="J26" s="1"/>
      <c r="K26" s="17">
        <v>75</v>
      </c>
      <c r="L26" s="7">
        <f>L25/H48</f>
        <v>5.4527109737408708</v>
      </c>
      <c r="M26" s="9">
        <f t="shared" si="36"/>
        <v>0.32147882035893771</v>
      </c>
      <c r="N26" s="21">
        <f>(N18+E26)/2</f>
        <v>5.8957612443995888E-2</v>
      </c>
      <c r="O26" s="475"/>
      <c r="P26" s="1"/>
      <c r="Q26" s="1"/>
      <c r="R26" s="1"/>
      <c r="S26" s="1"/>
      <c r="T26" s="18" t="s">
        <v>27</v>
      </c>
      <c r="U26" s="7">
        <f t="shared" si="28"/>
        <v>1.4871277293470673</v>
      </c>
      <c r="V26" s="20">
        <f t="shared" si="29"/>
        <v>-0.44287227065293266</v>
      </c>
      <c r="W26" s="22">
        <f t="shared" si="37"/>
        <v>0.77053250225236647</v>
      </c>
      <c r="X26" s="1" t="s">
        <v>95</v>
      </c>
      <c r="Y26" s="1"/>
      <c r="Z26" s="1"/>
      <c r="AA26" s="1"/>
      <c r="AB26" s="18" t="s">
        <v>27</v>
      </c>
      <c r="AC26" s="7">
        <f t="shared" si="30"/>
        <v>3.8596591</v>
      </c>
      <c r="AD26" s="20">
        <f t="shared" si="26"/>
        <v>-0.25034090000000031</v>
      </c>
      <c r="AE26" s="22">
        <f>AC26/$AC$14</f>
        <v>0.93908980535279796</v>
      </c>
      <c r="AF26" s="1"/>
      <c r="AG26" s="1"/>
      <c r="AH26" s="18" t="s">
        <v>27</v>
      </c>
      <c r="AI26" s="7">
        <f t="shared" si="31"/>
        <v>1.7930434471194139</v>
      </c>
      <c r="AJ26" s="20">
        <f t="shared" si="32"/>
        <v>-6.9565528805861643E-3</v>
      </c>
      <c r="AK26" s="22">
        <f>AI26/$AI$14</f>
        <v>0.99613524839967438</v>
      </c>
      <c r="AL26" s="1"/>
      <c r="AM26" s="1"/>
      <c r="AN26" s="18" t="s">
        <v>27</v>
      </c>
      <c r="AO26" s="28">
        <f>1.08*AP31</f>
        <v>1.7937000000000001</v>
      </c>
      <c r="AP26" s="20">
        <f t="shared" si="33"/>
        <v>-0.19629999999999992</v>
      </c>
      <c r="AQ26" s="22">
        <f>AO26/$AO$14</f>
        <v>0.90135678391959806</v>
      </c>
      <c r="AR26" s="1"/>
      <c r="AS26" s="1"/>
      <c r="AT26" s="18" t="s">
        <v>27</v>
      </c>
      <c r="AU26" s="7">
        <f t="shared" si="34"/>
        <v>1.334169870460894</v>
      </c>
      <c r="AV26" s="20">
        <f t="shared" si="35"/>
        <v>-0.73583012953910587</v>
      </c>
      <c r="AW26" s="22">
        <f>AU26/$AO$14</f>
        <v>0.67043712083462004</v>
      </c>
      <c r="AX26" s="1"/>
      <c r="AY26" s="1"/>
      <c r="AZ26" s="1"/>
      <c r="BA26" s="1"/>
      <c r="BB26" s="1"/>
      <c r="BC26" s="1"/>
      <c r="BD26" s="1"/>
      <c r="BE26" s="1"/>
      <c r="BF26" s="1"/>
      <c r="BG26" s="1"/>
      <c r="BH26" s="1"/>
      <c r="BI26" s="1"/>
      <c r="BJ26" s="1"/>
      <c r="BK26" s="1"/>
      <c r="BL26" s="1"/>
      <c r="BM26" s="1"/>
      <c r="BN26" s="1"/>
      <c r="BO26" s="1"/>
      <c r="BP26" s="1"/>
      <c r="BQ26" s="1"/>
      <c r="BR26" s="1"/>
      <c r="BS26" s="1"/>
    </row>
    <row r="27" spans="1:71" x14ac:dyDescent="0.25">
      <c r="A27" s="1"/>
      <c r="B27" s="16">
        <v>100</v>
      </c>
      <c r="C27" s="7">
        <v>3.7320000000000002</v>
      </c>
      <c r="D27" s="6">
        <v>6.2E-2</v>
      </c>
      <c r="E27" s="21">
        <f t="shared" si="27"/>
        <v>1.6613076098606645E-2</v>
      </c>
      <c r="F27" s="8"/>
      <c r="G27" s="8"/>
      <c r="H27" s="8"/>
      <c r="I27" s="8"/>
      <c r="J27" s="1"/>
      <c r="K27" s="17">
        <v>100</v>
      </c>
      <c r="L27" s="7">
        <f>L26/H49</f>
        <v>5.3430652495759636</v>
      </c>
      <c r="M27" s="9">
        <f t="shared" si="36"/>
        <v>0.19603882709813081</v>
      </c>
      <c r="N27" s="21">
        <f>(N19+E27)/2</f>
        <v>3.6690329977476663E-2</v>
      </c>
      <c r="O27" s="475"/>
      <c r="P27" s="1"/>
      <c r="Q27" s="1"/>
      <c r="R27" s="1"/>
      <c r="S27" s="1"/>
      <c r="T27" s="18" t="s">
        <v>57</v>
      </c>
      <c r="U27" s="7">
        <f t="shared" si="28"/>
        <v>3.3709335842012531</v>
      </c>
      <c r="V27" s="20">
        <f t="shared" si="29"/>
        <v>1.4409335842012532</v>
      </c>
      <c r="W27" s="22">
        <f t="shared" si="37"/>
        <v>1.7465977120213747</v>
      </c>
      <c r="X27" s="1"/>
      <c r="Y27" s="1"/>
      <c r="Z27" s="1"/>
      <c r="AA27" s="1"/>
      <c r="AB27" s="18" t="s">
        <v>57</v>
      </c>
      <c r="AC27" s="7">
        <f t="shared" si="30"/>
        <v>7.524648899999999</v>
      </c>
      <c r="AD27" s="20">
        <f t="shared" si="26"/>
        <v>3.4146488999999987</v>
      </c>
      <c r="AE27" s="22">
        <f t="shared" si="38"/>
        <v>1.8308148175182477</v>
      </c>
      <c r="AF27" s="1"/>
      <c r="AG27" s="1"/>
      <c r="AH27" s="18" t="s">
        <v>57</v>
      </c>
      <c r="AI27" s="7">
        <f t="shared" si="31"/>
        <v>3.7801562440862977</v>
      </c>
      <c r="AJ27" s="20">
        <f t="shared" si="32"/>
        <v>1.9801562440862976</v>
      </c>
      <c r="AK27" s="22">
        <f>AI27/$AI$14</f>
        <v>2.1000868022701655</v>
      </c>
      <c r="AL27" s="1"/>
      <c r="AM27" s="1"/>
      <c r="AN27" s="18" t="s">
        <v>57</v>
      </c>
      <c r="AO27" s="28">
        <f>AO26*AP34</f>
        <v>3.553906169966663</v>
      </c>
      <c r="AP27" s="20">
        <f t="shared" si="33"/>
        <v>1.563906169966663</v>
      </c>
      <c r="AQ27" s="22">
        <f>AO27/$AO$14</f>
        <v>1.7858824974706848</v>
      </c>
      <c r="AR27" s="1"/>
      <c r="AS27" s="1"/>
      <c r="AT27" s="18" t="s">
        <v>57</v>
      </c>
      <c r="AU27" s="7">
        <f t="shared" si="34"/>
        <v>3.1614917081740974</v>
      </c>
      <c r="AV27" s="20">
        <f t="shared" si="35"/>
        <v>1.0914917081740976</v>
      </c>
      <c r="AW27" s="22">
        <f>AU27/$AO$14</f>
        <v>1.5886893005899987</v>
      </c>
      <c r="AX27" s="1"/>
      <c r="AY27" s="1"/>
      <c r="AZ27" s="1"/>
      <c r="BA27" s="1"/>
      <c r="BB27" s="1"/>
      <c r="BC27" s="1"/>
      <c r="BD27" s="1"/>
      <c r="BE27" s="1"/>
      <c r="BF27" s="1"/>
      <c r="BG27" s="1"/>
      <c r="BH27" s="1"/>
      <c r="BI27" s="1"/>
      <c r="BJ27" s="1"/>
      <c r="BK27" s="1"/>
      <c r="BL27" s="1"/>
      <c r="BM27" s="1"/>
      <c r="BN27" s="1"/>
      <c r="BO27" s="1"/>
      <c r="BP27" s="1"/>
      <c r="BQ27" s="1"/>
      <c r="BR27" s="1"/>
      <c r="BS27" s="1"/>
    </row>
    <row r="28" spans="1:71" x14ac:dyDescent="0.25">
      <c r="A28" s="1"/>
      <c r="B28" s="8"/>
      <c r="C28" s="8"/>
      <c r="D28" s="8"/>
      <c r="E28" s="8"/>
      <c r="F28" s="8"/>
      <c r="G28" s="8"/>
      <c r="H28" s="8"/>
      <c r="I28" s="8"/>
      <c r="J28" s="8"/>
      <c r="K28" s="8"/>
      <c r="L28" s="8"/>
      <c r="M28" s="8"/>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x14ac:dyDescent="0.25">
      <c r="A29" s="1"/>
      <c r="B29" s="8" t="s">
        <v>7</v>
      </c>
      <c r="C29" s="8"/>
      <c r="D29" s="8"/>
      <c r="E29" s="8"/>
      <c r="F29" s="8"/>
      <c r="G29" s="8"/>
      <c r="H29" s="8"/>
      <c r="I29" s="8"/>
      <c r="J29" s="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x14ac:dyDescent="0.25">
      <c r="A30" s="1"/>
      <c r="B30" s="11" t="s">
        <v>0</v>
      </c>
      <c r="C30" s="11" t="s">
        <v>1</v>
      </c>
      <c r="D30" s="11" t="s">
        <v>2</v>
      </c>
      <c r="E30" s="11" t="s">
        <v>3</v>
      </c>
      <c r="F30" s="8"/>
      <c r="G30" s="8"/>
      <c r="H30" s="8"/>
      <c r="I30" s="8"/>
      <c r="J30" s="8"/>
      <c r="K30" s="1"/>
      <c r="L30" s="1"/>
      <c r="M30" s="1"/>
      <c r="N30" s="1"/>
      <c r="O30" s="1"/>
      <c r="P30" s="1"/>
      <c r="Q30" s="1"/>
      <c r="R30" s="1"/>
      <c r="S30" s="1"/>
      <c r="T30" s="1"/>
      <c r="U30" s="1"/>
      <c r="V30" s="1"/>
      <c r="W30" s="1"/>
      <c r="X30" s="1"/>
      <c r="Y30" s="1"/>
      <c r="Z30" s="1"/>
      <c r="AA30" s="1"/>
      <c r="AB30" s="1"/>
      <c r="AC30" s="1"/>
      <c r="AD30" s="1" t="s">
        <v>38</v>
      </c>
      <c r="AE30" s="1"/>
      <c r="AF30" s="1"/>
      <c r="AG30" s="1"/>
      <c r="AH30" s="1"/>
      <c r="AI30" s="1"/>
      <c r="AJ30" s="1" t="s">
        <v>49</v>
      </c>
      <c r="AK30" s="1"/>
      <c r="AL30" s="1"/>
      <c r="AM30" s="1"/>
      <c r="AN30" s="1"/>
      <c r="AO30" s="1"/>
      <c r="AP30" s="1" t="s">
        <v>50</v>
      </c>
      <c r="AQ30" s="1"/>
      <c r="AR30" s="1"/>
      <c r="AS30" s="1"/>
      <c r="AT30" s="1"/>
      <c r="AU30" s="1"/>
      <c r="AV30" s="1" t="s">
        <v>51</v>
      </c>
      <c r="AW30" s="1"/>
      <c r="AX30" s="1"/>
      <c r="AY30" s="1"/>
      <c r="AZ30" s="1"/>
      <c r="BA30" s="1"/>
      <c r="BB30" s="1"/>
      <c r="BC30" s="1"/>
      <c r="BD30" s="1"/>
      <c r="BE30" s="1"/>
      <c r="BF30" s="1"/>
      <c r="BG30" s="1"/>
      <c r="BH30" s="1"/>
      <c r="BI30" s="1"/>
      <c r="BJ30" s="1"/>
      <c r="BK30" s="1"/>
      <c r="BL30" s="1"/>
      <c r="BM30" s="1"/>
      <c r="BN30" s="1"/>
      <c r="BO30" s="1"/>
      <c r="BP30" s="1"/>
      <c r="BQ30" s="1"/>
      <c r="BR30" s="1"/>
      <c r="BS30" s="1"/>
    </row>
    <row r="31" spans="1:71" x14ac:dyDescent="0.25">
      <c r="A31" s="1"/>
      <c r="B31" s="16">
        <v>1</v>
      </c>
      <c r="C31" s="7">
        <f>C15+7.36*$K$44</f>
        <v>10.306999999999999</v>
      </c>
      <c r="D31" s="6">
        <f>C31*E31</f>
        <v>1.2865880721220526</v>
      </c>
      <c r="E31" s="21">
        <v>0.12482662968099861</v>
      </c>
      <c r="F31" s="8"/>
      <c r="G31" s="8"/>
      <c r="H31" s="8"/>
      <c r="I31" s="8"/>
      <c r="J31" s="8"/>
      <c r="K31" s="1"/>
      <c r="L31" s="1"/>
      <c r="M31" s="1"/>
      <c r="N31" s="1"/>
      <c r="O31" s="1"/>
      <c r="P31" s="1"/>
      <c r="Q31" s="1"/>
      <c r="R31" s="1"/>
      <c r="S31" s="1"/>
      <c r="T31" s="1"/>
      <c r="U31" s="1"/>
      <c r="V31" s="1"/>
      <c r="W31" s="1"/>
      <c r="X31" s="1"/>
      <c r="Y31" s="1"/>
      <c r="Z31" s="1"/>
      <c r="AA31" s="1"/>
      <c r="AB31" s="1"/>
      <c r="AC31" s="1"/>
      <c r="AD31" s="1">
        <f>AC4/1.2</f>
        <v>3.4275000000000007</v>
      </c>
      <c r="AE31" s="1"/>
      <c r="AF31" s="1"/>
      <c r="AG31" s="1"/>
      <c r="AH31" s="1"/>
      <c r="AI31" s="1"/>
      <c r="AJ31" s="1">
        <f>AI4/1.2</f>
        <v>1.4991666666666668</v>
      </c>
      <c r="AK31" s="1"/>
      <c r="AL31" s="1"/>
      <c r="AM31" s="1"/>
      <c r="AN31" s="1"/>
      <c r="AO31" s="1"/>
      <c r="AP31" s="1">
        <f>AO4/1.2</f>
        <v>1.6608333333333334</v>
      </c>
      <c r="AQ31" s="1"/>
      <c r="AR31" s="1"/>
      <c r="AS31" s="1"/>
      <c r="AT31" s="1"/>
      <c r="AU31" s="1"/>
      <c r="AV31" s="1">
        <f>AU4/1.2</f>
        <v>1.7216666666666667</v>
      </c>
      <c r="AW31" s="1"/>
      <c r="AX31" s="1"/>
      <c r="AY31" s="1"/>
      <c r="AZ31" s="1"/>
      <c r="BA31" s="1"/>
      <c r="BB31" s="1"/>
      <c r="BC31" s="1"/>
      <c r="BD31" s="1"/>
      <c r="BE31" s="1"/>
      <c r="BF31" s="1"/>
      <c r="BG31" s="1"/>
      <c r="BH31" s="1"/>
      <c r="BI31" s="1"/>
      <c r="BJ31" s="1"/>
      <c r="BK31" s="1"/>
      <c r="BL31" s="1"/>
      <c r="BM31" s="1"/>
      <c r="BN31" s="1"/>
      <c r="BO31" s="1"/>
      <c r="BP31" s="1"/>
      <c r="BQ31" s="1"/>
      <c r="BR31" s="1"/>
      <c r="BS31" s="1"/>
    </row>
    <row r="32" spans="1:71" x14ac:dyDescent="0.25">
      <c r="A32" s="1"/>
      <c r="B32" s="16">
        <v>25</v>
      </c>
      <c r="C32" s="7">
        <f>C31/B46</f>
        <v>5.636685298196948</v>
      </c>
      <c r="D32" s="6">
        <f t="shared" ref="D32:D35" si="39">C32*E32</f>
        <v>0.5189238557558945</v>
      </c>
      <c r="E32" s="21">
        <v>9.2061881815876226E-2</v>
      </c>
      <c r="F32" s="8"/>
      <c r="G32" s="8"/>
      <c r="H32" s="8"/>
      <c r="I32" s="8"/>
      <c r="J32" s="8"/>
      <c r="K32" s="1"/>
      <c r="L32" s="1"/>
      <c r="M32" s="1"/>
      <c r="N32" s="1"/>
      <c r="O32" s="1"/>
      <c r="P32" s="1"/>
      <c r="Q32" s="1"/>
      <c r="R32" s="1"/>
      <c r="S32" s="1"/>
      <c r="T32" s="1"/>
      <c r="U32" s="1"/>
      <c r="V32" s="1" t="s">
        <v>37</v>
      </c>
      <c r="W32" s="1"/>
      <c r="X32" s="1"/>
      <c r="Y32" s="1"/>
      <c r="Z32" s="1"/>
      <c r="AA32" s="1"/>
      <c r="AB32" s="1"/>
      <c r="AC32" s="1">
        <f>AC5/AC4</f>
        <v>1.7529783612934595</v>
      </c>
      <c r="AD32" s="1">
        <f>AC5/AC7</f>
        <v>1.1053196382032806</v>
      </c>
      <c r="AE32" s="1"/>
      <c r="AF32" s="1"/>
      <c r="AG32" s="1"/>
      <c r="AH32" s="1"/>
      <c r="AI32" s="1">
        <f>AI5/AI4</f>
        <v>2.1917732073374099</v>
      </c>
      <c r="AJ32" s="1">
        <f>AI5/AI7</f>
        <v>1.3011804614930902</v>
      </c>
      <c r="AK32" s="1"/>
      <c r="AL32" s="1"/>
      <c r="AM32" s="1"/>
      <c r="AN32" s="1"/>
      <c r="AO32" s="1">
        <f>AO5/AO4</f>
        <v>1.88509784244857</v>
      </c>
      <c r="AP32" s="1">
        <f>AO5/AO7</f>
        <v>1.3651641226481523</v>
      </c>
      <c r="AQ32" s="1"/>
      <c r="AR32" s="1"/>
      <c r="AS32" s="1"/>
      <c r="AT32" s="1"/>
      <c r="AU32" s="1">
        <f>AU5/AU4</f>
        <v>1.8063891577928366</v>
      </c>
      <c r="AV32" s="1">
        <f>AU5/AU7</f>
        <v>1.6551298668116081</v>
      </c>
      <c r="AW32" s="1"/>
      <c r="AX32" s="1"/>
      <c r="AY32" s="1"/>
      <c r="AZ32" s="1"/>
      <c r="BA32" s="1"/>
      <c r="BB32" s="1"/>
      <c r="BC32" s="1"/>
      <c r="BD32" s="1"/>
      <c r="BE32" s="1"/>
      <c r="BF32" s="1"/>
      <c r="BG32" s="1"/>
      <c r="BH32" s="1"/>
      <c r="BI32" s="1"/>
      <c r="BJ32" s="1"/>
      <c r="BK32" s="1"/>
      <c r="BL32" s="1"/>
      <c r="BM32" s="1"/>
      <c r="BN32" s="1"/>
      <c r="BO32" s="1"/>
      <c r="BP32" s="1"/>
      <c r="BQ32" s="1"/>
      <c r="BR32" s="1"/>
      <c r="BS32" s="1"/>
    </row>
    <row r="33" spans="1:72" x14ac:dyDescent="0.25">
      <c r="A33" s="1"/>
      <c r="B33" s="16">
        <v>50</v>
      </c>
      <c r="C33" s="7">
        <f>C32/B47</f>
        <v>5.4351198335644924</v>
      </c>
      <c r="D33" s="6">
        <f t="shared" si="39"/>
        <v>0.21443134535367536</v>
      </c>
      <c r="E33" s="21">
        <v>3.9452919516044183E-2</v>
      </c>
      <c r="F33" s="8"/>
      <c r="G33" s="8"/>
      <c r="H33" s="8"/>
      <c r="I33" s="8"/>
      <c r="J33" s="8"/>
      <c r="K33" s="1"/>
      <c r="L33" s="1"/>
      <c r="M33" s="1"/>
      <c r="N33" s="1"/>
      <c r="O33" s="1"/>
      <c r="P33" s="1"/>
      <c r="Q33" s="1"/>
      <c r="R33" s="1"/>
      <c r="S33" s="1"/>
      <c r="T33" s="1"/>
      <c r="V33" s="1">
        <f>U4/1.2</f>
        <v>1.6075000000000002</v>
      </c>
      <c r="W33" s="1" t="s">
        <v>94</v>
      </c>
      <c r="X33" s="1"/>
      <c r="Y33" s="1"/>
      <c r="Z33" s="1"/>
      <c r="AA33" s="1"/>
      <c r="AB33" s="1"/>
      <c r="AC33" s="1">
        <f>AC6/AC4</f>
        <v>2.505956722586919</v>
      </c>
      <c r="AD33" s="1">
        <f>AC6/AC7</f>
        <v>1.5801011804384482</v>
      </c>
      <c r="AE33" s="1"/>
      <c r="AF33" s="1"/>
      <c r="AG33" s="1"/>
      <c r="AH33" s="1"/>
      <c r="AI33" s="1">
        <f>AI6/AI4</f>
        <v>3.1332325170633397</v>
      </c>
      <c r="AJ33" s="1">
        <f>AI6/AI7</f>
        <v>1.8600925127058638</v>
      </c>
      <c r="AK33" s="1"/>
      <c r="AL33" s="1"/>
      <c r="AM33" s="1"/>
      <c r="AN33" s="1"/>
      <c r="AO33" s="1">
        <f>AO6/AO4</f>
        <v>2.6948271098637178</v>
      </c>
      <c r="AP33" s="1">
        <f>AO6/AO7</f>
        <v>1.9515598629867548</v>
      </c>
      <c r="AQ33" s="1"/>
      <c r="AR33" s="1"/>
      <c r="AS33" s="1"/>
      <c r="AT33" s="1"/>
      <c r="AU33" s="1">
        <f>AU6/AU4</f>
        <v>2.5823097155854038</v>
      </c>
      <c r="AV33" s="1">
        <f>AU6/AU7</f>
        <v>2.3660781605030849</v>
      </c>
      <c r="AW33" s="1"/>
      <c r="AX33" s="1"/>
      <c r="AY33" s="1"/>
      <c r="AZ33" s="1"/>
      <c r="BA33" s="1"/>
      <c r="BB33" s="1"/>
      <c r="BC33" s="1"/>
      <c r="BD33" s="1"/>
      <c r="BE33" s="1"/>
      <c r="BF33" s="1"/>
      <c r="BG33" s="1"/>
      <c r="BH33" s="1"/>
      <c r="BI33" s="1"/>
      <c r="BJ33" s="1"/>
      <c r="BK33" s="1"/>
      <c r="BL33" s="1"/>
      <c r="BM33" s="1"/>
      <c r="BN33" s="1"/>
      <c r="BO33" s="1"/>
      <c r="BP33" s="1"/>
      <c r="BQ33" s="1"/>
      <c r="BR33" s="1"/>
      <c r="BS33" s="1"/>
    </row>
    <row r="34" spans="1:72" x14ac:dyDescent="0.25">
      <c r="A34" s="1"/>
      <c r="B34" s="16">
        <v>75</v>
      </c>
      <c r="C34" s="7">
        <f>C33/B48</f>
        <v>5.3707904299583902</v>
      </c>
      <c r="D34" s="6">
        <f t="shared" si="39"/>
        <v>0.12437018030513172</v>
      </c>
      <c r="E34" s="21">
        <v>2.3156774021825921E-2</v>
      </c>
      <c r="F34" s="8"/>
      <c r="G34" s="8"/>
      <c r="H34" s="8"/>
      <c r="I34" s="8"/>
      <c r="J34" s="8"/>
      <c r="K34" s="1"/>
      <c r="L34" s="1"/>
      <c r="M34" s="1"/>
      <c r="N34" s="1"/>
      <c r="O34" s="1"/>
      <c r="P34" s="1"/>
      <c r="Q34" s="1"/>
      <c r="R34" s="1"/>
      <c r="S34" s="1"/>
      <c r="T34" s="1"/>
      <c r="U34" s="1">
        <f>U5/U4</f>
        <v>1.9709694142042509</v>
      </c>
      <c r="V34" s="1">
        <f>U5/U7</f>
        <v>1.5127438992666218</v>
      </c>
      <c r="W34" s="1" t="s">
        <v>96</v>
      </c>
      <c r="X34" s="1"/>
      <c r="Y34" s="1"/>
      <c r="Z34" s="1"/>
      <c r="AA34" s="1"/>
      <c r="AB34" s="1"/>
      <c r="AC34" s="1">
        <f>AC7/AC4</f>
        <v>1.5859469973255531</v>
      </c>
      <c r="AD34" s="1">
        <f>AC8/AC7</f>
        <v>1.9495630844703353</v>
      </c>
      <c r="AE34" s="1"/>
      <c r="AF34" s="1"/>
      <c r="AG34" s="1"/>
      <c r="AH34" s="1"/>
      <c r="AI34" s="1">
        <f>AI7/AI4</f>
        <v>1.6844498301353021</v>
      </c>
      <c r="AJ34" s="1">
        <f>AI8/AI7</f>
        <v>2.1082346053349958</v>
      </c>
      <c r="AK34" s="1"/>
      <c r="AL34" s="1"/>
      <c r="AM34" s="1"/>
      <c r="AN34" s="1"/>
      <c r="AO34" s="1">
        <f>AO7/AO4</f>
        <v>1.3808580310416068</v>
      </c>
      <c r="AP34" s="1">
        <f>AO8/AO7</f>
        <v>1.9813269610116868</v>
      </c>
      <c r="AQ34" s="1"/>
      <c r="AR34" s="1"/>
      <c r="AS34" s="1"/>
      <c r="AT34" s="1"/>
      <c r="AU34" s="1">
        <f>AU7/AU4</f>
        <v>1.0913881708101913</v>
      </c>
      <c r="AV34" s="1">
        <f>AU8/AU7</f>
        <v>2.3696320672284021</v>
      </c>
      <c r="AW34" s="1"/>
      <c r="AX34" s="1"/>
      <c r="AY34" s="1"/>
      <c r="AZ34" s="1"/>
      <c r="BA34" s="1"/>
      <c r="BB34" s="1"/>
      <c r="BC34" s="1"/>
      <c r="BD34" s="1"/>
      <c r="BE34" s="1"/>
      <c r="BF34" s="1"/>
      <c r="BG34" s="1"/>
      <c r="BH34" s="1"/>
      <c r="BI34" s="1"/>
      <c r="BJ34" s="1"/>
      <c r="BK34" s="1"/>
      <c r="BL34" s="1"/>
      <c r="BM34" s="1"/>
      <c r="BN34" s="1"/>
      <c r="BO34" s="1"/>
      <c r="BP34" s="1"/>
      <c r="BQ34" s="1"/>
      <c r="BR34" s="1"/>
      <c r="BS34" s="1"/>
    </row>
    <row r="35" spans="1:72" x14ac:dyDescent="0.25">
      <c r="A35" s="1"/>
      <c r="B35" s="16">
        <v>100</v>
      </c>
      <c r="C35" s="7">
        <f>C34/B49</f>
        <v>5.3350518723994442</v>
      </c>
      <c r="D35" s="6">
        <f t="shared" si="39"/>
        <v>8.8631622746185829E-2</v>
      </c>
      <c r="E35" s="21">
        <v>1.6613076098606645E-2</v>
      </c>
      <c r="F35" s="8"/>
      <c r="G35" s="8"/>
      <c r="H35" s="8"/>
      <c r="I35" s="8"/>
      <c r="J35" s="8"/>
      <c r="K35" s="1"/>
      <c r="L35" s="1"/>
      <c r="M35" s="1"/>
      <c r="N35" s="1"/>
      <c r="O35" s="1"/>
      <c r="P35" s="1"/>
      <c r="Q35" s="1"/>
      <c r="R35" s="1"/>
      <c r="S35" s="1"/>
      <c r="T35" s="1"/>
      <c r="U35" s="1">
        <f>U6/U4</f>
        <v>2.8175841542584199</v>
      </c>
      <c r="V35" s="1">
        <f>U6/U7</f>
        <v>2.162531396635377</v>
      </c>
      <c r="W35" s="1" t="s">
        <v>97</v>
      </c>
      <c r="X35" s="1"/>
      <c r="Y35" s="1"/>
      <c r="Z35" s="1"/>
      <c r="AA35" s="1"/>
      <c r="AB35" s="1"/>
      <c r="AC35" s="1">
        <f>AC8/AC4</f>
        <v>3.0919037199124721</v>
      </c>
      <c r="AD35" s="1"/>
      <c r="AE35" s="1"/>
      <c r="AF35" s="1"/>
      <c r="AG35" s="1"/>
      <c r="AH35" s="1"/>
      <c r="AI35" s="1">
        <f>AI8/AI4</f>
        <v>3.5512154228418997</v>
      </c>
      <c r="AJ35" s="1"/>
      <c r="AK35" s="1"/>
      <c r="AL35" s="1"/>
      <c r="AM35" s="1"/>
      <c r="AN35" s="1"/>
      <c r="AO35" s="1">
        <f>AO8/AO4</f>
        <v>2.7359312462322483</v>
      </c>
      <c r="AP35" s="1"/>
      <c r="AQ35" s="1"/>
      <c r="AR35" s="1"/>
      <c r="AS35" s="1"/>
      <c r="AT35" s="1"/>
      <c r="AU35" s="1">
        <f>AU8/AU4</f>
        <v>2.5861884073455781</v>
      </c>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2" x14ac:dyDescent="0.25">
      <c r="A36" s="1"/>
      <c r="B36" s="1"/>
      <c r="C36" s="1"/>
      <c r="D36" s="1"/>
      <c r="E36" s="1"/>
      <c r="F36" s="1"/>
      <c r="G36" s="1"/>
      <c r="H36" s="1"/>
      <c r="I36" s="1"/>
      <c r="J36" s="1"/>
      <c r="K36" s="1"/>
      <c r="L36" s="1"/>
      <c r="M36" s="1"/>
      <c r="N36" s="1"/>
      <c r="O36" s="1"/>
      <c r="P36" s="1"/>
      <c r="Q36" s="1"/>
      <c r="R36" s="1"/>
      <c r="S36" s="1"/>
      <c r="T36" s="1"/>
      <c r="U36" s="1">
        <f>U7/U4</f>
        <v>1.302910172144655</v>
      </c>
      <c r="V36" s="1">
        <f>U8/U7</f>
        <v>2.2667411263195816</v>
      </c>
      <c r="W36" s="1" t="s">
        <v>98</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x14ac:dyDescent="0.25">
      <c r="A37" s="1"/>
      <c r="B37" s="1"/>
      <c r="C37" s="1"/>
      <c r="D37" s="1"/>
      <c r="E37" s="1"/>
      <c r="F37" s="1"/>
      <c r="G37" s="1"/>
      <c r="H37" s="1"/>
      <c r="I37" s="1"/>
      <c r="J37" s="1"/>
      <c r="K37" s="1"/>
      <c r="L37" s="1"/>
      <c r="M37" s="1"/>
      <c r="N37" s="1"/>
      <c r="O37" s="1"/>
      <c r="P37" s="1"/>
      <c r="Q37" s="1"/>
      <c r="R37" s="1"/>
      <c r="S37" s="1"/>
      <c r="T37" s="1"/>
      <c r="U37" s="1">
        <f>U8/U4</f>
        <v>2.9533600711004149</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x14ac:dyDescent="0.25">
      <c r="A40" s="1"/>
      <c r="B40" s="1"/>
      <c r="C40" s="26"/>
      <c r="D40" s="26"/>
      <c r="E40" s="26"/>
      <c r="F40" s="26"/>
      <c r="G40" s="26"/>
      <c r="H40" s="26"/>
      <c r="I40" s="26"/>
      <c r="J40" s="26"/>
      <c r="K40" s="26"/>
      <c r="L40" s="26"/>
      <c r="M40" s="26"/>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x14ac:dyDescent="0.25">
      <c r="B41" s="26"/>
      <c r="C41" s="26"/>
      <c r="D41" s="26"/>
      <c r="E41" s="26"/>
      <c r="F41" s="26"/>
      <c r="G41" s="26"/>
      <c r="H41" s="26"/>
      <c r="I41" s="26"/>
      <c r="J41" s="26"/>
      <c r="K41" s="26"/>
      <c r="L41" s="26"/>
      <c r="M41" s="26"/>
      <c r="R41" s="1"/>
      <c r="S41" s="1"/>
      <c r="T41" s="1"/>
      <c r="Y41" s="1"/>
      <c r="Z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x14ac:dyDescent="0.25">
      <c r="B42" s="26"/>
      <c r="C42" s="26"/>
      <c r="D42" s="26"/>
      <c r="E42" s="26"/>
      <c r="F42" s="26"/>
      <c r="G42" s="26"/>
      <c r="H42" s="26"/>
      <c r="I42" s="26"/>
      <c r="J42" s="26"/>
      <c r="K42" s="26"/>
      <c r="L42" s="26"/>
      <c r="M42" s="26"/>
      <c r="R42" s="1"/>
      <c r="S42" s="1"/>
      <c r="T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x14ac:dyDescent="0.25">
      <c r="B43" s="26"/>
      <c r="C43" s="26"/>
      <c r="D43" s="26"/>
      <c r="E43" s="26"/>
      <c r="F43" s="26"/>
      <c r="G43" s="26"/>
      <c r="H43" s="26"/>
      <c r="I43" s="26"/>
      <c r="J43" s="26"/>
      <c r="K43" s="26"/>
      <c r="L43" s="26"/>
      <c r="M43" s="26"/>
      <c r="R43" s="1"/>
      <c r="S43" s="1"/>
      <c r="T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x14ac:dyDescent="0.25">
      <c r="B44" s="26" t="s">
        <v>9</v>
      </c>
      <c r="C44" s="26"/>
      <c r="D44" s="26"/>
      <c r="E44" s="26"/>
      <c r="F44" s="26" t="s">
        <v>10</v>
      </c>
      <c r="G44" s="26"/>
      <c r="H44" s="26" t="s">
        <v>11</v>
      </c>
      <c r="I44" s="26"/>
      <c r="J44" s="26"/>
      <c r="K44" s="26">
        <f>B45/3.68</f>
        <v>0.84157608695652153</v>
      </c>
      <c r="L44" s="26" t="s">
        <v>19</v>
      </c>
      <c r="M44" s="26"/>
      <c r="R44" s="1"/>
      <c r="S44" s="1"/>
      <c r="T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x14ac:dyDescent="0.25">
      <c r="A45" s="1"/>
      <c r="B45" s="27">
        <f>C23-C15</f>
        <v>3.0969999999999995</v>
      </c>
      <c r="C45" s="26" t="s">
        <v>88</v>
      </c>
      <c r="D45" s="26"/>
      <c r="E45" s="26"/>
      <c r="F45" s="26"/>
      <c r="G45" s="26"/>
      <c r="H45" s="26"/>
      <c r="I45" s="26"/>
      <c r="J45" s="26"/>
      <c r="K45" s="26"/>
      <c r="L45" s="26" t="s">
        <v>19</v>
      </c>
      <c r="M45" s="26"/>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row>
    <row r="46" spans="1:72" x14ac:dyDescent="0.25">
      <c r="A46" s="1"/>
      <c r="B46" s="26">
        <f>C23/C24</f>
        <v>1.8285569363428862</v>
      </c>
      <c r="C46" s="59" t="s">
        <v>89</v>
      </c>
      <c r="D46" s="26"/>
      <c r="E46" s="26"/>
      <c r="F46" s="26">
        <f>L15/L16</f>
        <v>2.152574220217963</v>
      </c>
      <c r="G46" s="26"/>
      <c r="H46" s="26">
        <f>(F46+B46)/2</f>
        <v>1.9905655782804246</v>
      </c>
      <c r="I46" s="59" t="s">
        <v>89</v>
      </c>
      <c r="J46" s="26"/>
      <c r="K46" s="26"/>
      <c r="L46" s="26"/>
      <c r="M46" s="26"/>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x14ac:dyDescent="0.25">
      <c r="A47" s="1"/>
      <c r="B47" s="26">
        <f>C24/C25</f>
        <v>1.0370857443450816</v>
      </c>
      <c r="C47" s="59" t="s">
        <v>90</v>
      </c>
      <c r="D47" s="26"/>
      <c r="E47" s="26"/>
      <c r="F47" s="26">
        <f>L16/L17</f>
        <v>1.2057091073855914</v>
      </c>
      <c r="G47" s="26"/>
      <c r="H47" s="26">
        <f t="shared" ref="H47:H49" si="40">(F47+B47)/2</f>
        <v>1.1213974258653365</v>
      </c>
      <c r="I47" s="59" t="s">
        <v>90</v>
      </c>
      <c r="J47" s="26"/>
      <c r="K47" s="26"/>
      <c r="L47" s="26"/>
      <c r="M47" s="26"/>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x14ac:dyDescent="0.25">
      <c r="A48" s="1"/>
      <c r="B48" s="26">
        <f>C25/C26</f>
        <v>1.0119776417354271</v>
      </c>
      <c r="C48" s="59" t="s">
        <v>91</v>
      </c>
      <c r="D48" s="26"/>
      <c r="E48" s="26"/>
      <c r="F48" s="26">
        <f>L17/L18</f>
        <v>1.07763671875</v>
      </c>
      <c r="G48" s="26"/>
      <c r="H48" s="26">
        <f t="shared" si="40"/>
        <v>1.0448071802427137</v>
      </c>
      <c r="I48" s="59" t="s">
        <v>91</v>
      </c>
      <c r="J48" s="26"/>
      <c r="K48" s="26"/>
      <c r="L48" s="26"/>
      <c r="M48" s="26"/>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x14ac:dyDescent="0.25">
      <c r="A49" s="1"/>
      <c r="B49" s="26">
        <f>C26/C27</f>
        <v>1.0066988210075027</v>
      </c>
      <c r="C49" s="59" t="s">
        <v>92</v>
      </c>
      <c r="D49" s="26"/>
      <c r="E49" s="26"/>
      <c r="F49" s="26">
        <f>L18/L19</f>
        <v>1.0343434343434343</v>
      </c>
      <c r="G49" s="26"/>
      <c r="H49" s="26">
        <f t="shared" si="40"/>
        <v>1.0205211276754684</v>
      </c>
      <c r="I49" s="59" t="s">
        <v>92</v>
      </c>
      <c r="J49" s="26"/>
      <c r="K49" s="26"/>
      <c r="L49" s="26"/>
      <c r="M49" s="26"/>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x14ac:dyDescent="0.25">
      <c r="A50" s="1"/>
      <c r="B50" s="26"/>
      <c r="C50" s="26"/>
      <c r="D50" s="26"/>
      <c r="E50" s="26"/>
      <c r="F50" s="26"/>
      <c r="G50" s="26"/>
      <c r="H50" s="26"/>
      <c r="I50" s="26"/>
      <c r="J50" s="26"/>
      <c r="K50" s="26"/>
      <c r="L50" s="26"/>
      <c r="M50" s="26"/>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x14ac:dyDescent="0.25">
      <c r="A51" s="1"/>
      <c r="B51" s="26"/>
      <c r="C51" s="26"/>
      <c r="D51" s="26"/>
      <c r="E51" s="26"/>
      <c r="F51" s="26"/>
      <c r="G51" s="23"/>
      <c r="H51" s="23"/>
      <c r="I51" s="23"/>
      <c r="J51" s="23"/>
      <c r="K51" s="23"/>
      <c r="L51" s="23"/>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7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x14ac:dyDescent="0.25">
      <c r="BN57" s="1"/>
      <c r="BO57" s="1"/>
      <c r="BP57" s="1"/>
      <c r="BQ57" s="1"/>
      <c r="BR57" s="1"/>
      <c r="BS57" s="1"/>
      <c r="BT57" s="1"/>
    </row>
  </sheetData>
  <mergeCells count="3">
    <mergeCell ref="X3:X8"/>
    <mergeCell ref="K21:N21"/>
    <mergeCell ref="O22:O27"/>
  </mergeCells>
  <pageMargins left="0.7" right="0.7" top="0.75" bottom="0.75" header="0.3" footer="0.3"/>
  <pageSetup paperSize="9" orientation="portrait" r:id="rId1"/>
  <headerFooter>
    <oddFooter>&amp;C&amp;1#&amp;"Calibri"&amp;12&amp;K008000Internal Use</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3BEE-D8CE-4474-A12B-66D620A95FF6}">
  <sheetPr>
    <tabColor rgb="FFFF0000"/>
  </sheetPr>
  <dimension ref="A1:BT57"/>
  <sheetViews>
    <sheetView topLeftCell="AN1" zoomScale="70" zoomScaleNormal="70" workbookViewId="0">
      <selection activeCell="BJ24" sqref="BJ24"/>
    </sheetView>
  </sheetViews>
  <sheetFormatPr defaultRowHeight="15" x14ac:dyDescent="0.25"/>
  <cols>
    <col min="1" max="1" width="9.140625" customWidth="1"/>
    <col min="2" max="2" width="32.85546875" customWidth="1"/>
    <col min="3" max="10" width="9.140625" customWidth="1"/>
    <col min="11" max="11" width="31.85546875" customWidth="1"/>
    <col min="12" max="19" width="9.140625" customWidth="1"/>
    <col min="20" max="20" width="66.28515625" customWidth="1"/>
    <col min="21" max="21" width="9.140625" customWidth="1"/>
    <col min="22" max="22" width="19.7109375" customWidth="1"/>
    <col min="23" max="23" width="9.140625" customWidth="1"/>
    <col min="24" max="24" width="16.5703125" customWidth="1"/>
    <col min="25" max="27" width="9.140625" customWidth="1"/>
    <col min="28" max="28" width="63.140625" customWidth="1"/>
    <col min="29" max="29" width="9.140625" customWidth="1"/>
    <col min="30" max="30" width="19.7109375" customWidth="1"/>
    <col min="31" max="33" width="9.140625" customWidth="1"/>
    <col min="34" max="34" width="65.28515625" customWidth="1"/>
    <col min="35" max="35" width="9.140625" customWidth="1"/>
    <col min="36" max="36" width="21.28515625" customWidth="1"/>
    <col min="37" max="39" width="9.140625" customWidth="1"/>
    <col min="40" max="40" width="65.28515625" customWidth="1"/>
    <col min="41" max="41" width="9.140625" customWidth="1"/>
    <col min="42" max="42" width="24.28515625" customWidth="1"/>
    <col min="43" max="45" width="9.140625" customWidth="1"/>
    <col min="46" max="46" width="65.28515625" customWidth="1"/>
    <col min="47" max="47" width="9.140625" customWidth="1"/>
    <col min="48" max="48" width="19.140625" customWidth="1"/>
    <col min="49" max="51" width="9.140625" customWidth="1"/>
    <col min="52" max="52" width="40.5703125" customWidth="1"/>
    <col min="53" max="53" width="31.140625" customWidth="1"/>
    <col min="54" max="54" width="10" bestFit="1" customWidth="1"/>
  </cols>
  <sheetData>
    <row r="1" spans="1:7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x14ac:dyDescent="0.25">
      <c r="A2" s="1"/>
      <c r="B2" s="2" t="s">
        <v>4</v>
      </c>
      <c r="C2" s="2"/>
      <c r="D2" s="2"/>
      <c r="E2" s="3"/>
      <c r="F2" s="3"/>
      <c r="G2" s="3"/>
      <c r="H2" s="3"/>
      <c r="I2" s="3"/>
      <c r="J2" s="3"/>
      <c r="K2" s="2" t="s">
        <v>204</v>
      </c>
      <c r="L2" s="2"/>
      <c r="M2" s="2"/>
      <c r="N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x14ac:dyDescent="0.25">
      <c r="A3" s="1"/>
      <c r="B3" s="5" t="s">
        <v>0</v>
      </c>
      <c r="C3" s="5" t="s">
        <v>1</v>
      </c>
      <c r="D3" s="5" t="s">
        <v>2</v>
      </c>
      <c r="E3" s="5" t="s">
        <v>3</v>
      </c>
      <c r="F3" s="4"/>
      <c r="G3" s="4"/>
      <c r="H3" s="4"/>
      <c r="I3" s="4"/>
      <c r="J3" s="4"/>
      <c r="K3" s="14" t="s">
        <v>0</v>
      </c>
      <c r="L3" s="14" t="s">
        <v>1</v>
      </c>
      <c r="M3" s="14" t="s">
        <v>2</v>
      </c>
      <c r="N3" s="14" t="s">
        <v>3</v>
      </c>
      <c r="O3" s="1"/>
      <c r="P3" s="1"/>
      <c r="Q3" s="1"/>
      <c r="R3" s="1"/>
      <c r="S3" s="1"/>
      <c r="T3" s="19" t="s">
        <v>22</v>
      </c>
      <c r="U3" s="19" t="s">
        <v>8</v>
      </c>
      <c r="V3" s="19" t="s">
        <v>12</v>
      </c>
      <c r="W3" s="19" t="s">
        <v>13</v>
      </c>
      <c r="X3" s="475" t="s">
        <v>93</v>
      </c>
      <c r="Y3" s="1"/>
      <c r="Z3" s="1"/>
      <c r="AA3" s="1"/>
      <c r="AB3" s="19" t="s">
        <v>30</v>
      </c>
      <c r="AC3" s="19" t="s">
        <v>8</v>
      </c>
      <c r="AD3" s="19" t="s">
        <v>12</v>
      </c>
      <c r="AE3" s="19" t="s">
        <v>13</v>
      </c>
      <c r="AF3" s="1"/>
      <c r="AG3" s="1"/>
      <c r="AH3" s="19" t="s">
        <v>40</v>
      </c>
      <c r="AI3" s="19" t="s">
        <v>8</v>
      </c>
      <c r="AJ3" s="19" t="s">
        <v>12</v>
      </c>
      <c r="AK3" s="19" t="s">
        <v>13</v>
      </c>
      <c r="AL3" s="1"/>
      <c r="AM3" s="1"/>
      <c r="AN3" s="19" t="s">
        <v>41</v>
      </c>
      <c r="AO3" s="19" t="s">
        <v>8</v>
      </c>
      <c r="AP3" s="19" t="s">
        <v>12</v>
      </c>
      <c r="AQ3" s="19" t="s">
        <v>13</v>
      </c>
      <c r="AR3" s="1"/>
      <c r="AS3" s="1"/>
      <c r="AT3" s="19" t="s">
        <v>42</v>
      </c>
      <c r="AU3" s="19" t="s">
        <v>8</v>
      </c>
      <c r="AV3" s="19" t="s">
        <v>12</v>
      </c>
      <c r="AW3" s="19" t="s">
        <v>13</v>
      </c>
      <c r="AX3" s="1"/>
      <c r="AY3" s="1"/>
      <c r="AZ3" s="106" t="s">
        <v>52</v>
      </c>
      <c r="BA3" s="106" t="s">
        <v>54</v>
      </c>
      <c r="BB3" s="106" t="s">
        <v>60</v>
      </c>
      <c r="BC3" s="1"/>
      <c r="BD3" s="1"/>
      <c r="BE3" s="1"/>
      <c r="BF3" s="1"/>
      <c r="BG3" s="1"/>
      <c r="BH3" s="1"/>
      <c r="BI3" s="1"/>
      <c r="BJ3" s="1"/>
      <c r="BK3" s="1"/>
      <c r="BL3" s="1"/>
      <c r="BM3" s="1"/>
      <c r="BN3" s="1"/>
      <c r="BO3" s="1"/>
      <c r="BP3" s="1"/>
      <c r="BQ3" s="1"/>
      <c r="BR3" s="1"/>
      <c r="BS3" s="1"/>
    </row>
    <row r="4" spans="1:71" x14ac:dyDescent="0.25">
      <c r="A4" s="1"/>
      <c r="B4" s="16">
        <v>1</v>
      </c>
      <c r="C4" s="7">
        <v>3.5870000000000002</v>
      </c>
      <c r="D4" s="6">
        <v>0.54900000000000004</v>
      </c>
      <c r="E4" s="21">
        <f>D4/C4</f>
        <v>0.15305269027042098</v>
      </c>
      <c r="F4" s="8"/>
      <c r="G4" s="8"/>
      <c r="H4" s="8"/>
      <c r="I4" s="8"/>
      <c r="J4" s="8"/>
      <c r="K4" s="17">
        <v>1</v>
      </c>
      <c r="L4" s="7">
        <v>2.8439999999999999</v>
      </c>
      <c r="M4" s="9">
        <v>0.54900000000000004</v>
      </c>
      <c r="N4" s="21">
        <f>M4/L4</f>
        <v>0.19303797468354433</v>
      </c>
      <c r="O4" s="1"/>
      <c r="P4" s="1"/>
      <c r="Q4" s="1"/>
      <c r="R4" s="1"/>
      <c r="S4" s="1"/>
      <c r="T4" s="18" t="s">
        <v>21</v>
      </c>
      <c r="U4" s="7">
        <f>C17</f>
        <v>1.929</v>
      </c>
      <c r="V4" s="20">
        <f>U4-$U$4</f>
        <v>0</v>
      </c>
      <c r="W4" s="22">
        <v>0</v>
      </c>
      <c r="X4" s="475"/>
      <c r="Y4" s="1"/>
      <c r="Z4" s="1"/>
      <c r="AA4" s="1"/>
      <c r="AB4" s="18" t="s">
        <v>21</v>
      </c>
      <c r="AC4" s="7">
        <f>C15</f>
        <v>4.1130000000000004</v>
      </c>
      <c r="AD4" s="20">
        <f>AC4-$AC$4</f>
        <v>0</v>
      </c>
      <c r="AE4" s="22">
        <v>0</v>
      </c>
      <c r="AF4" s="1"/>
      <c r="AG4" s="1"/>
      <c r="AH4" s="18" t="s">
        <v>21</v>
      </c>
      <c r="AI4" s="7">
        <f>C16</f>
        <v>1.7989999999999999</v>
      </c>
      <c r="AJ4" s="20">
        <f>AI4-$AI$4</f>
        <v>0</v>
      </c>
      <c r="AK4" s="22">
        <v>0</v>
      </c>
      <c r="AL4" s="1"/>
      <c r="AM4" s="1"/>
      <c r="AN4" s="18" t="s">
        <v>21</v>
      </c>
      <c r="AO4" s="7">
        <f>C18</f>
        <v>1.9930000000000001</v>
      </c>
      <c r="AP4" s="20">
        <f>AO4-$AO$4</f>
        <v>0</v>
      </c>
      <c r="AQ4" s="22">
        <v>0</v>
      </c>
      <c r="AR4" s="1"/>
      <c r="AS4" s="1"/>
      <c r="AT4" s="18" t="s">
        <v>21</v>
      </c>
      <c r="AU4" s="7">
        <f>C19</f>
        <v>2.0659999999999998</v>
      </c>
      <c r="AV4" s="20">
        <f>AU4-$U$4</f>
        <v>0.13699999999999979</v>
      </c>
      <c r="AW4" s="22">
        <v>0</v>
      </c>
      <c r="AX4" s="1"/>
      <c r="AY4" s="1"/>
      <c r="AZ4" s="107" t="s">
        <v>61</v>
      </c>
      <c r="BA4" s="108" t="s">
        <v>63</v>
      </c>
      <c r="BB4" s="109">
        <v>25</v>
      </c>
      <c r="BC4" s="1"/>
      <c r="BD4" s="1"/>
      <c r="BE4" s="1"/>
      <c r="BF4" s="1"/>
      <c r="BG4" s="1"/>
      <c r="BH4" s="1"/>
      <c r="BI4" s="1"/>
      <c r="BJ4" s="1"/>
      <c r="BK4" s="1"/>
      <c r="BL4" s="1"/>
      <c r="BM4" s="1"/>
      <c r="BN4" s="1"/>
      <c r="BO4" s="1"/>
      <c r="BP4" s="1"/>
      <c r="BQ4" s="1"/>
      <c r="BR4" s="1"/>
      <c r="BS4" s="1"/>
    </row>
    <row r="5" spans="1:71" x14ac:dyDescent="0.25">
      <c r="A5" s="1"/>
      <c r="B5" s="16">
        <v>25</v>
      </c>
      <c r="C5" s="7">
        <v>3.7559999999999998</v>
      </c>
      <c r="D5" s="6">
        <v>2.1000000000000001E-2</v>
      </c>
      <c r="E5" s="21">
        <f t="shared" ref="E5:E8" si="0">D5/C5</f>
        <v>5.5910543130990422E-3</v>
      </c>
      <c r="F5" s="8"/>
      <c r="G5" s="8"/>
      <c r="H5" s="8"/>
      <c r="I5" s="8"/>
      <c r="J5" s="8"/>
      <c r="K5" s="17">
        <v>25</v>
      </c>
      <c r="L5" s="7">
        <v>1.58</v>
      </c>
      <c r="M5" s="9">
        <v>0.317</v>
      </c>
      <c r="N5" s="21">
        <f t="shared" ref="N5:N8" si="1">M5/L5</f>
        <v>0.20063291139240505</v>
      </c>
      <c r="O5" s="1"/>
      <c r="P5" s="1"/>
      <c r="Q5" s="1"/>
      <c r="R5" s="1"/>
      <c r="S5" s="1"/>
      <c r="T5" s="18" t="s">
        <v>16</v>
      </c>
      <c r="U5" s="7">
        <f>C25</f>
        <v>3.802</v>
      </c>
      <c r="V5" s="20">
        <f>U5-$U$4</f>
        <v>1.873</v>
      </c>
      <c r="W5" s="22">
        <f>U5/$U$4</f>
        <v>1.9709694142042509</v>
      </c>
      <c r="X5" s="475"/>
      <c r="Y5" s="1"/>
      <c r="Z5" s="1"/>
      <c r="AA5" s="1"/>
      <c r="AB5" s="18" t="s">
        <v>16</v>
      </c>
      <c r="AC5" s="7">
        <f>C23</f>
        <v>7.21</v>
      </c>
      <c r="AD5" s="20">
        <f t="shared" ref="AD5:AD8" si="2">AC5-$AC$4</f>
        <v>3.0969999999999995</v>
      </c>
      <c r="AE5" s="22">
        <f>AC5/$AC$4</f>
        <v>1.7529783612934595</v>
      </c>
      <c r="AF5" s="1"/>
      <c r="AG5" s="1"/>
      <c r="AH5" s="18" t="s">
        <v>16</v>
      </c>
      <c r="AI5" s="7">
        <f>C24</f>
        <v>3.9430000000000001</v>
      </c>
      <c r="AJ5" s="20">
        <f t="shared" ref="AJ5:AJ8" si="3">AI5-$AI$4</f>
        <v>2.1440000000000001</v>
      </c>
      <c r="AK5" s="22">
        <f>AI5/$AI$4</f>
        <v>2.1917732073374099</v>
      </c>
      <c r="AL5" s="1"/>
      <c r="AM5" s="1"/>
      <c r="AN5" s="18" t="s">
        <v>16</v>
      </c>
      <c r="AO5" s="7">
        <f>C26</f>
        <v>3.7570000000000001</v>
      </c>
      <c r="AP5" s="20">
        <f t="shared" ref="AP5:AP8" si="4">AO5-$AO$4</f>
        <v>1.764</v>
      </c>
      <c r="AQ5" s="22">
        <f>AO5/$AO$4</f>
        <v>1.88509784244857</v>
      </c>
      <c r="AR5" s="1"/>
      <c r="AS5" s="1"/>
      <c r="AT5" s="18" t="s">
        <v>16</v>
      </c>
      <c r="AU5" s="7">
        <f>C27</f>
        <v>3.7320000000000002</v>
      </c>
      <c r="AV5" s="20">
        <f>AU5-$U$4</f>
        <v>1.8030000000000002</v>
      </c>
      <c r="AW5" s="22">
        <f>AU5/$U$4</f>
        <v>1.9346811819595646</v>
      </c>
      <c r="AX5" s="1"/>
      <c r="AY5" s="1"/>
      <c r="AZ5" s="110" t="s">
        <v>62</v>
      </c>
      <c r="BA5" s="111" t="s">
        <v>56</v>
      </c>
      <c r="BB5" s="112">
        <v>0</v>
      </c>
      <c r="BC5" s="1"/>
      <c r="BD5" s="1"/>
      <c r="BE5" s="1"/>
      <c r="BF5" s="1"/>
      <c r="BG5" s="1"/>
      <c r="BH5" s="1"/>
      <c r="BI5" s="1"/>
      <c r="BJ5" s="1"/>
      <c r="BK5" s="1"/>
      <c r="BL5" s="1"/>
      <c r="BM5" s="1"/>
      <c r="BN5" s="1"/>
      <c r="BO5" s="1"/>
      <c r="BP5" s="1"/>
      <c r="BQ5" s="1"/>
      <c r="BR5" s="1"/>
      <c r="BS5" s="1"/>
    </row>
    <row r="6" spans="1:71" x14ac:dyDescent="0.25">
      <c r="A6" s="1"/>
      <c r="B6" s="16">
        <v>50</v>
      </c>
      <c r="C6" s="7">
        <v>3.7370000000000001</v>
      </c>
      <c r="D6" s="6">
        <v>3.1E-2</v>
      </c>
      <c r="E6" s="21">
        <f t="shared" si="0"/>
        <v>8.2954241370082945E-3</v>
      </c>
      <c r="F6" s="8"/>
      <c r="G6" s="10"/>
      <c r="H6" s="8"/>
      <c r="I6" s="8"/>
      <c r="J6" s="8"/>
      <c r="K6" s="17">
        <v>50</v>
      </c>
      <c r="L6" s="7">
        <v>1.389</v>
      </c>
      <c r="M6" s="9">
        <v>0.192</v>
      </c>
      <c r="N6" s="21">
        <f t="shared" si="1"/>
        <v>0.13822894168466524</v>
      </c>
      <c r="O6" s="1"/>
      <c r="P6" s="1"/>
      <c r="Q6" s="1"/>
      <c r="R6" s="1"/>
      <c r="S6" s="1"/>
      <c r="T6" s="18" t="s">
        <v>17</v>
      </c>
      <c r="U6" s="7">
        <f>C33</f>
        <v>5.4351198335644924</v>
      </c>
      <c r="V6" s="20">
        <f>U6-$U$4</f>
        <v>3.5061198335644921</v>
      </c>
      <c r="W6" s="22">
        <f t="shared" ref="W6:W8" si="5">U6/$U$4</f>
        <v>2.8175841542584199</v>
      </c>
      <c r="X6" s="475"/>
      <c r="Y6" s="1"/>
      <c r="Z6" s="1"/>
      <c r="AA6" s="1"/>
      <c r="AB6" s="18" t="s">
        <v>17</v>
      </c>
      <c r="AC6" s="7">
        <f>C31</f>
        <v>10.306999999999999</v>
      </c>
      <c r="AD6" s="20">
        <f t="shared" si="2"/>
        <v>6.1939999999999982</v>
      </c>
      <c r="AE6" s="22">
        <f t="shared" ref="AE6:AE8" si="6">AC6/$AC$4</f>
        <v>2.505956722586919</v>
      </c>
      <c r="AF6" s="1"/>
      <c r="AG6" s="1"/>
      <c r="AH6" s="18" t="s">
        <v>17</v>
      </c>
      <c r="AI6" s="7">
        <f>C32</f>
        <v>5.636685298196948</v>
      </c>
      <c r="AJ6" s="20">
        <f t="shared" si="3"/>
        <v>3.837685298196948</v>
      </c>
      <c r="AK6" s="22">
        <f t="shared" ref="AK6:AK8" si="7">AI6/$AI$4</f>
        <v>3.1332325170633397</v>
      </c>
      <c r="AL6" s="1"/>
      <c r="AM6" s="1"/>
      <c r="AN6" s="18" t="s">
        <v>17</v>
      </c>
      <c r="AO6" s="7">
        <f>C34</f>
        <v>5.3707904299583902</v>
      </c>
      <c r="AP6" s="20">
        <f t="shared" si="4"/>
        <v>3.3777904299583899</v>
      </c>
      <c r="AQ6" s="22">
        <f t="shared" ref="AQ6:AQ8" si="8">AO6/$AO$4</f>
        <v>2.6948271098637178</v>
      </c>
      <c r="AR6" s="1"/>
      <c r="AS6" s="1"/>
      <c r="AT6" s="18" t="s">
        <v>17</v>
      </c>
      <c r="AU6" s="7">
        <f>C35</f>
        <v>5.3350518723994442</v>
      </c>
      <c r="AV6" s="20">
        <f>AU6-$U$4</f>
        <v>3.406051872399444</v>
      </c>
      <c r="AW6" s="22">
        <f t="shared" ref="AW6:AW8" si="9">AU6/$U$4</f>
        <v>2.7657085911868555</v>
      </c>
      <c r="AX6" s="1"/>
      <c r="AY6" s="1"/>
      <c r="AZ6" s="113" t="s">
        <v>83</v>
      </c>
      <c r="BA6" s="114" t="s">
        <v>55</v>
      </c>
      <c r="BB6" s="115" t="s">
        <v>59</v>
      </c>
      <c r="BC6" s="1"/>
      <c r="BD6" s="1"/>
      <c r="BE6" s="1"/>
      <c r="BF6" s="1"/>
      <c r="BG6" s="1"/>
      <c r="BH6" s="1"/>
      <c r="BI6" s="1"/>
      <c r="BJ6" s="1"/>
      <c r="BK6" s="1"/>
      <c r="BL6" s="1"/>
      <c r="BM6" s="1"/>
      <c r="BN6" s="1"/>
      <c r="BO6" s="1"/>
      <c r="BP6" s="1"/>
      <c r="BQ6" s="1"/>
      <c r="BR6" s="1"/>
      <c r="BS6" s="1"/>
    </row>
    <row r="7" spans="1:71" ht="15" customHeight="1" x14ac:dyDescent="0.25">
      <c r="A7" s="1"/>
      <c r="B7" s="16">
        <v>75</v>
      </c>
      <c r="C7" s="7">
        <v>3.7130000000000001</v>
      </c>
      <c r="D7" s="6">
        <v>4.3999999999999997E-2</v>
      </c>
      <c r="E7" s="21">
        <f t="shared" si="0"/>
        <v>1.1850255857796929E-2</v>
      </c>
      <c r="F7" s="8"/>
      <c r="G7" s="8"/>
      <c r="H7" s="8"/>
      <c r="I7" s="8"/>
      <c r="J7" s="8"/>
      <c r="K7" s="17">
        <v>75</v>
      </c>
      <c r="L7" s="7">
        <v>1.304</v>
      </c>
      <c r="M7" s="9">
        <v>0.20899999999999999</v>
      </c>
      <c r="N7" s="21">
        <f t="shared" si="1"/>
        <v>0.16027607361963189</v>
      </c>
      <c r="O7" s="1"/>
      <c r="P7" s="1"/>
      <c r="Q7" s="1"/>
      <c r="R7" s="1"/>
      <c r="S7" s="1"/>
      <c r="T7" s="18" t="s">
        <v>24</v>
      </c>
      <c r="U7" s="7">
        <f>L17</f>
        <v>5.3090000000000002</v>
      </c>
      <c r="V7" s="20">
        <f>U7-$U$4</f>
        <v>3.38</v>
      </c>
      <c r="W7" s="22">
        <f t="shared" si="5"/>
        <v>2.7522032141005703</v>
      </c>
      <c r="X7" s="475"/>
      <c r="Y7" s="1"/>
      <c r="Z7" s="1"/>
      <c r="AA7" s="1"/>
      <c r="AB7" s="18" t="s">
        <v>24</v>
      </c>
      <c r="AC7" s="7">
        <f>L15*1.18</f>
        <v>8.8417399999999997</v>
      </c>
      <c r="AD7" s="20">
        <f t="shared" si="2"/>
        <v>4.7287399999999993</v>
      </c>
      <c r="AE7" s="22">
        <f t="shared" si="6"/>
        <v>2.149705810843666</v>
      </c>
      <c r="AF7" s="1"/>
      <c r="AG7" s="1"/>
      <c r="AH7" s="18" t="s">
        <v>24</v>
      </c>
      <c r="AI7" s="7">
        <f>L16*1.18</f>
        <v>6.1112200000000003</v>
      </c>
      <c r="AJ7" s="20">
        <f t="shared" si="3"/>
        <v>4.3122199999999999</v>
      </c>
      <c r="AK7" s="22">
        <f t="shared" si="7"/>
        <v>3.3970094496942749</v>
      </c>
      <c r="AL7" s="1"/>
      <c r="AM7" s="1"/>
      <c r="AN7" s="18" t="s">
        <v>24</v>
      </c>
      <c r="AO7" s="7">
        <f>L18*1.18</f>
        <v>6.3401399999999999</v>
      </c>
      <c r="AP7" s="20">
        <f t="shared" si="4"/>
        <v>4.3471399999999996</v>
      </c>
      <c r="AQ7" s="22">
        <f t="shared" si="8"/>
        <v>3.1812042147516304</v>
      </c>
      <c r="AR7" s="1"/>
      <c r="AS7" s="1"/>
      <c r="AT7" s="18" t="s">
        <v>24</v>
      </c>
      <c r="AU7" s="7">
        <f>L19*1.18</f>
        <v>6.4262799999999993</v>
      </c>
      <c r="AV7" s="20">
        <f>AU7-$U$4</f>
        <v>4.4972799999999991</v>
      </c>
      <c r="AW7" s="22">
        <f t="shared" si="9"/>
        <v>3.3314048729911869</v>
      </c>
      <c r="AX7" s="1"/>
      <c r="AY7" s="1"/>
      <c r="AZ7" s="116" t="s">
        <v>53</v>
      </c>
      <c r="BA7" s="117" t="s">
        <v>55</v>
      </c>
      <c r="BB7" s="118" t="s">
        <v>82</v>
      </c>
      <c r="BC7" s="1"/>
      <c r="BD7" s="1"/>
      <c r="BE7" s="1"/>
      <c r="BF7" s="1"/>
      <c r="BG7" s="1"/>
      <c r="BH7" s="1"/>
      <c r="BI7" s="1"/>
      <c r="BJ7" s="1"/>
      <c r="BK7" s="1"/>
      <c r="BL7" s="1"/>
      <c r="BM7" s="1"/>
      <c r="BN7" s="1"/>
      <c r="BO7" s="1"/>
      <c r="BP7" s="1"/>
      <c r="BQ7" s="1"/>
      <c r="BR7" s="1"/>
      <c r="BS7" s="1"/>
    </row>
    <row r="8" spans="1:71" x14ac:dyDescent="0.25">
      <c r="A8" s="1"/>
      <c r="B8" s="16">
        <v>100</v>
      </c>
      <c r="C8" s="7">
        <v>3.6880000000000002</v>
      </c>
      <c r="D8" s="6">
        <v>5.2999999999999999E-2</v>
      </c>
      <c r="E8" s="21">
        <f t="shared" si="0"/>
        <v>1.4370932754880694E-2</v>
      </c>
      <c r="F8" s="8"/>
      <c r="G8" s="8"/>
      <c r="H8" s="8"/>
      <c r="I8" s="8"/>
      <c r="J8" s="8"/>
      <c r="K8" s="17">
        <v>100</v>
      </c>
      <c r="L8" s="7">
        <v>1.276</v>
      </c>
      <c r="M8" s="9">
        <v>9.1999999999999998E-2</v>
      </c>
      <c r="N8" s="21">
        <f t="shared" si="1"/>
        <v>7.2100313479623826E-2</v>
      </c>
      <c r="O8" s="1"/>
      <c r="P8" s="1"/>
      <c r="Q8" s="1"/>
      <c r="R8" s="1"/>
      <c r="S8" s="1"/>
      <c r="T8" s="18" t="s">
        <v>20</v>
      </c>
      <c r="U8" s="7">
        <f>L25</f>
        <v>8.3052322644467562</v>
      </c>
      <c r="V8" s="20">
        <f>U8-$U$4</f>
        <v>6.3762322644467559</v>
      </c>
      <c r="W8" s="22">
        <f t="shared" si="5"/>
        <v>4.3054599608329474</v>
      </c>
      <c r="X8" s="475"/>
      <c r="Y8" s="1"/>
      <c r="Z8" s="1"/>
      <c r="AA8" s="1"/>
      <c r="AB8" s="18" t="s">
        <v>20</v>
      </c>
      <c r="AC8" s="7">
        <f>L23</f>
        <v>13.686999999999999</v>
      </c>
      <c r="AD8" s="20">
        <f t="shared" si="2"/>
        <v>9.5739999999999981</v>
      </c>
      <c r="AE8" s="22">
        <f t="shared" si="6"/>
        <v>3.3277413080476532</v>
      </c>
      <c r="AF8" s="1"/>
      <c r="AG8" s="1"/>
      <c r="AH8" s="18" t="s">
        <v>20</v>
      </c>
      <c r="AI8" s="7">
        <f>L24</f>
        <v>8.3575511734391288</v>
      </c>
      <c r="AJ8" s="20">
        <f t="shared" si="3"/>
        <v>6.5585511734391293</v>
      </c>
      <c r="AK8" s="22">
        <f t="shared" si="7"/>
        <v>4.6456649101940686</v>
      </c>
      <c r="AL8" s="1"/>
      <c r="AM8" s="1"/>
      <c r="AN8" s="18" t="s">
        <v>20</v>
      </c>
      <c r="AO8" s="7">
        <f>L26</f>
        <v>8.3049572339986764</v>
      </c>
      <c r="AP8" s="20">
        <f t="shared" si="4"/>
        <v>6.311957233998676</v>
      </c>
      <c r="AQ8" s="22">
        <f t="shared" si="8"/>
        <v>4.1670633386847342</v>
      </c>
      <c r="AR8" s="1"/>
      <c r="AS8" s="1"/>
      <c r="AT8" s="18" t="s">
        <v>20</v>
      </c>
      <c r="AU8" s="7">
        <f>L27</f>
        <v>8.3328954009190674</v>
      </c>
      <c r="AV8" s="20">
        <f>AU8-$U$4</f>
        <v>6.4038954009190672</v>
      </c>
      <c r="AW8" s="22">
        <f t="shared" si="9"/>
        <v>4.3198006225604288</v>
      </c>
      <c r="AX8" s="1"/>
      <c r="AY8" s="1"/>
      <c r="AZ8" s="116" t="s">
        <v>75</v>
      </c>
      <c r="BA8" s="117" t="s">
        <v>55</v>
      </c>
      <c r="BB8" s="118" t="s">
        <v>82</v>
      </c>
      <c r="BC8" s="1"/>
      <c r="BD8" s="1"/>
      <c r="BE8" s="1"/>
      <c r="BF8" s="1"/>
      <c r="BG8" s="1"/>
      <c r="BH8" s="1"/>
      <c r="BI8" s="1"/>
      <c r="BJ8" s="1"/>
      <c r="BK8" s="1"/>
      <c r="BL8" s="1"/>
      <c r="BM8" s="1"/>
      <c r="BN8" s="1"/>
      <c r="BO8" s="1"/>
      <c r="BP8" s="1"/>
      <c r="BQ8" s="1"/>
      <c r="BR8" s="1"/>
      <c r="BS8" s="1"/>
    </row>
    <row r="9" spans="1:71" x14ac:dyDescent="0.25">
      <c r="A9" s="1"/>
      <c r="B9" s="51"/>
      <c r="C9" s="12"/>
      <c r="D9" s="52"/>
      <c r="E9" s="53"/>
      <c r="F9" s="8"/>
      <c r="G9" s="8"/>
      <c r="H9" s="8"/>
      <c r="I9" s="8"/>
      <c r="J9" s="8"/>
      <c r="K9" s="54"/>
      <c r="L9" s="12"/>
      <c r="M9" s="55"/>
      <c r="N9" s="53"/>
      <c r="O9" s="1"/>
      <c r="P9" s="1"/>
      <c r="Q9" s="1"/>
      <c r="R9" s="1"/>
      <c r="S9" s="1"/>
      <c r="T9" s="56"/>
      <c r="U9" s="12"/>
      <c r="V9" s="57"/>
      <c r="W9" s="58"/>
      <c r="X9" s="1"/>
      <c r="Y9" s="1"/>
      <c r="Z9" s="1"/>
      <c r="AA9" s="1"/>
      <c r="AB9" s="56"/>
      <c r="AC9" s="12"/>
      <c r="AD9" s="57"/>
      <c r="AE9" s="58"/>
      <c r="AF9" s="1"/>
      <c r="AG9" s="1"/>
      <c r="AH9" s="56"/>
      <c r="AI9" s="12"/>
      <c r="AJ9" s="57"/>
      <c r="AK9" s="58"/>
      <c r="AL9" s="1"/>
      <c r="AM9" s="1"/>
      <c r="AN9" s="56"/>
      <c r="AO9" s="12"/>
      <c r="AP9" s="57"/>
      <c r="AQ9" s="58"/>
      <c r="AR9" s="1"/>
      <c r="AS9" s="1"/>
      <c r="AT9" s="56"/>
      <c r="AU9" s="12"/>
      <c r="AV9" s="57"/>
      <c r="AW9" s="58"/>
      <c r="AX9" s="1"/>
      <c r="AY9" s="1"/>
      <c r="AZ9" s="119" t="s">
        <v>84</v>
      </c>
      <c r="BA9" s="120" t="s">
        <v>55</v>
      </c>
      <c r="BB9" s="121" t="s">
        <v>82</v>
      </c>
      <c r="BC9" s="1"/>
      <c r="BD9" s="1"/>
      <c r="BE9" s="1"/>
      <c r="BF9" s="1"/>
      <c r="BG9" s="1"/>
      <c r="BH9" s="1"/>
      <c r="BI9" s="1"/>
      <c r="BJ9" s="1"/>
      <c r="BK9" s="1"/>
      <c r="BL9" s="1"/>
      <c r="BM9" s="1"/>
      <c r="BN9" s="1"/>
      <c r="BO9" s="1"/>
      <c r="BP9" s="1"/>
      <c r="BQ9" s="1"/>
      <c r="BR9" s="1"/>
      <c r="BS9" s="1"/>
    </row>
    <row r="10" spans="1:71" x14ac:dyDescent="0.25">
      <c r="A10" s="1"/>
      <c r="B10" s="51"/>
      <c r="C10" s="12"/>
      <c r="D10" s="52"/>
      <c r="E10" s="53"/>
      <c r="F10" s="8"/>
      <c r="G10" s="8"/>
      <c r="H10" s="8"/>
      <c r="I10" s="8"/>
      <c r="J10" s="8"/>
      <c r="K10" s="54"/>
      <c r="L10" s="12"/>
      <c r="M10" s="55"/>
      <c r="N10" s="53"/>
      <c r="O10" s="1"/>
      <c r="P10" s="1"/>
      <c r="Q10" s="1"/>
      <c r="R10" s="1"/>
      <c r="S10" s="1"/>
      <c r="T10" s="56"/>
      <c r="U10" s="12"/>
      <c r="V10" s="57"/>
      <c r="W10" s="58"/>
      <c r="X10" s="1"/>
      <c r="Y10" s="1"/>
      <c r="Z10" s="1"/>
      <c r="AA10" s="1"/>
      <c r="AB10" s="56"/>
      <c r="AC10" s="12"/>
      <c r="AD10" s="57"/>
      <c r="AE10" s="58"/>
      <c r="AF10" s="1"/>
      <c r="AG10" s="1"/>
      <c r="AH10" s="56"/>
      <c r="AI10" s="12"/>
      <c r="AJ10" s="57"/>
      <c r="AK10" s="58"/>
      <c r="AL10" s="1"/>
      <c r="AM10" s="1"/>
      <c r="AN10" s="56"/>
      <c r="AO10" s="12"/>
      <c r="AP10" s="57"/>
      <c r="AQ10" s="58"/>
      <c r="AR10" s="1"/>
      <c r="AS10" s="1"/>
      <c r="AT10" s="56"/>
      <c r="AU10" s="12"/>
      <c r="AV10" s="57"/>
      <c r="AW10" s="58"/>
      <c r="AX10" s="1"/>
      <c r="AY10" s="1"/>
      <c r="AZ10" s="119" t="s">
        <v>85</v>
      </c>
      <c r="BA10" s="120" t="s">
        <v>55</v>
      </c>
      <c r="BB10" s="121" t="s">
        <v>59</v>
      </c>
      <c r="BC10" s="1"/>
      <c r="BD10" s="1"/>
      <c r="BE10" s="1"/>
      <c r="BF10" s="1"/>
      <c r="BG10" s="1"/>
      <c r="BH10" s="1"/>
      <c r="BI10" s="1"/>
      <c r="BJ10" s="1"/>
      <c r="BK10" s="1"/>
      <c r="BL10" s="1"/>
      <c r="BM10" s="1"/>
      <c r="BN10" s="1"/>
      <c r="BO10" s="1"/>
      <c r="BP10" s="1"/>
      <c r="BQ10" s="1"/>
      <c r="BR10" s="1"/>
      <c r="BS10" s="1"/>
    </row>
    <row r="11" spans="1:71" x14ac:dyDescent="0.25">
      <c r="A11" s="1"/>
      <c r="B11" s="8"/>
      <c r="C11" s="8"/>
      <c r="D11" s="8"/>
      <c r="E11" s="8"/>
      <c r="F11" s="8"/>
      <c r="G11" s="8"/>
      <c r="H11" s="8"/>
      <c r="I11" s="8"/>
      <c r="J11" s="8"/>
      <c r="K11" s="8"/>
      <c r="L11" s="8"/>
      <c r="M11" s="8"/>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22" t="s">
        <v>125</v>
      </c>
      <c r="BA11" s="123" t="s">
        <v>55</v>
      </c>
      <c r="BB11" s="124" t="s">
        <v>82</v>
      </c>
      <c r="BC11" s="1"/>
      <c r="BD11" s="1"/>
      <c r="BE11" s="1"/>
      <c r="BF11" s="1"/>
      <c r="BG11" s="1"/>
      <c r="BH11" s="1"/>
      <c r="BI11" s="1"/>
      <c r="BJ11" s="1"/>
      <c r="BK11" s="1"/>
      <c r="BL11" s="1"/>
      <c r="BM11" s="1"/>
      <c r="BN11" s="1"/>
      <c r="BO11" s="1"/>
      <c r="BP11" s="1"/>
      <c r="BQ11" s="1"/>
      <c r="BR11" s="1"/>
      <c r="BS11" s="1"/>
    </row>
    <row r="12" spans="1:71" x14ac:dyDescent="0.25">
      <c r="A12" s="1"/>
      <c r="B12" s="8"/>
      <c r="C12" s="8"/>
      <c r="D12" s="8"/>
      <c r="E12" s="8"/>
      <c r="F12" s="8"/>
      <c r="G12" s="8"/>
      <c r="H12" s="8"/>
      <c r="I12" s="8"/>
      <c r="J12" s="8"/>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x14ac:dyDescent="0.25">
      <c r="A13" s="1"/>
      <c r="B13" s="8" t="s">
        <v>5</v>
      </c>
      <c r="C13" s="8"/>
      <c r="D13" s="8"/>
      <c r="E13" s="8"/>
      <c r="F13" s="8"/>
      <c r="G13" s="8"/>
      <c r="H13" s="8"/>
      <c r="I13" s="8"/>
      <c r="J13" s="8"/>
      <c r="K13" s="8" t="s">
        <v>203</v>
      </c>
      <c r="L13" s="8"/>
      <c r="M13" s="8"/>
      <c r="N13" s="8"/>
      <c r="O13" s="1"/>
      <c r="P13" s="1"/>
      <c r="Q13" s="1"/>
      <c r="R13" s="1"/>
      <c r="S13" s="1"/>
      <c r="T13" s="19" t="s">
        <v>29</v>
      </c>
      <c r="U13" s="19" t="s">
        <v>8</v>
      </c>
      <c r="V13" s="19" t="s">
        <v>12</v>
      </c>
      <c r="W13" s="19" t="s">
        <v>13</v>
      </c>
      <c r="X13" s="1"/>
      <c r="Y13" s="1"/>
      <c r="Z13" s="1"/>
      <c r="AA13" s="1"/>
      <c r="AB13" s="19" t="s">
        <v>31</v>
      </c>
      <c r="AC13" s="19" t="s">
        <v>8</v>
      </c>
      <c r="AD13" s="19" t="s">
        <v>12</v>
      </c>
      <c r="AE13" s="19" t="s">
        <v>13</v>
      </c>
      <c r="AF13" s="1"/>
      <c r="AG13" s="1"/>
      <c r="AH13" s="19" t="s">
        <v>43</v>
      </c>
      <c r="AI13" s="19" t="s">
        <v>8</v>
      </c>
      <c r="AJ13" s="19" t="s">
        <v>12</v>
      </c>
      <c r="AK13" s="19" t="s">
        <v>13</v>
      </c>
      <c r="AL13" s="1"/>
      <c r="AM13" s="1"/>
      <c r="AN13" s="19" t="s">
        <v>45</v>
      </c>
      <c r="AO13" s="19" t="s">
        <v>8</v>
      </c>
      <c r="AP13" s="19" t="s">
        <v>12</v>
      </c>
      <c r="AQ13" s="19" t="s">
        <v>13</v>
      </c>
      <c r="AR13" s="1"/>
      <c r="AS13" s="1"/>
      <c r="AT13" s="19" t="s">
        <v>47</v>
      </c>
      <c r="AU13" s="19" t="s">
        <v>8</v>
      </c>
      <c r="AV13" s="19" t="s">
        <v>12</v>
      </c>
      <c r="AW13" s="19" t="s">
        <v>13</v>
      </c>
      <c r="AX13" s="1"/>
      <c r="AY13" s="1"/>
      <c r="AZ13" s="1"/>
      <c r="BA13" s="125" t="s">
        <v>86</v>
      </c>
      <c r="BB13" s="126">
        <f>IF(AND(BB4=100,BB5=0,BB6="No",BB7="No",BB8="No"),AU4,IF(AND(BB4=100,BB5=3.68,BB6="No",BB7="No",BB8="No"),AU5,IF(AND(BB4=100,BB5=7.36,BB6="No",BB7="No",BB8="No"),AU6,IF(AND(BB4=100,BB5=0,BB6="Yes",BB7="No",BB8="No"),AU7,IF(AND(BB4=100,BB5=7.36,BB6="Yes",BB7="No",BB8="No"),AU8,IF(AND(BB4=100,BB5=0,BB6="No",BB7="Yes",BB8="No"),AU15,IF(AND(BB4=100,BB5=3.68,BB6="No",BB7="Yes",BB8="No"),AU16,IF(AND(BB4=100,BB5=7.36,BB6="No",BB7="Yes",BB8="No"),AU17,IF(AND(BB4=100,BB5=0,BB6="Yes",BB7="Yes",BB8="No"),AU18,IF(AND(BB4=100,BB5=7.36,BB6="Yes",BB7="Yes",BB8="No"),AU19,IF(AND(BB4=100,BB5=0,BB6="No",BB7="Yes",BB8="Yes"),AU23,IF(AND(BB4=100,BB5=3.68,BB6="No",BB7="Yes",BB8="Yes"),AU24,IF(AND(BB4=100,BB5=7.36,BB6="No",BB7="Yes",BB8="Yes"),AU25,IF(AND(BB4=100,BB5=0,BB6="Yes",BB7="Yes",BB8="Yes"),AU26,IF(AND(BB4=100,BB5=7.36,BB6="Yes",BB7="Yes",BB8="Yes"),AU27,IF(AND(BB4=1,BB5=0,BB6="No",BB7="No",BB8="No"),AC4,IF(AND(BB4=1,BB5=3.68,BB6="No",BB7="No",BB8="No"),AC5,IF(AND(BB4=1,BB5=7.36,BB6="No",BB7="No",BB8="No"),AC6,IF(AND(BB4=1,BB5=0,BB6="Yes",BB7="No",BB8="No"),AC7,IF(AND(BB4=1,BB5=7.36,BB6="Yes",BB7="No",BB8="No"),AC8,IF(AND(BB4=1,BB5=0,BB6="No",BB7="Yes",BB8="No"),AC15,IF(AND(BB4=1,BB5=3.68,BB6="No",BB7="Yes",BB8="No"),AC16,IF(AND(BB4=1,BB5=7.36,BB6="No",BB7="Yes",BB8="No"),AC17,IF(AND(BB4=1,BB5=0,BB6="Yes",BB7="Yes",BB8="No"),AC18,IF(AND(BB4=1,BB5=7.36,BB6="Yes",BB7="Yes",BB8="No"),AC19,IF(AND(BB4=1,BB5=0,BB6="No",BB7="Yes",BB8="Yes"),AC23,IF(AND(BB4=1,BB5=3.68,BB6="No",BB7="Yes",BB8="Yes"),AC24,IF(AND(BB4=1,BB5=7.36,BB6="No",BB7="Yes",BB8="Yes"),AC25,IF(AND(BB4=1,BB5=0,BB6="Yes",BB7="Yes",BB8="Yes"),AC26,IF(AND(BB4=1,BB5=7.36,BB6="Yes",BB7="Yes",BB8="Yes"),AC27,IF(AND(BB4=25,BB5=0,BB6="No",BB7="No",BB8="No"),AI4,IF(AND(BB4=25,BB5=3.68,BB6="No",BB7="No",BB8="No"),AI5,IF(AND(BB4=25,BB5=7.36,BB6="No",BB7="No",BB8="No"),AI6,IF(AND(BB4=25,BB5=0,BB6="Yes",BB7="No",BB8="No"),AI7,IF(AND(BB4=25,BB5=7.36,BB6="Yes",BB7="No",BB8="No"),AI8,IF(AND(BB4=25,BB5=0,BB6="No",BB7="Yes",BB8="No"),AI15,IF(AND(BB4=25,BB5=3.68,BB6="No",BB7="Yes",BB8="No"),AI16,IF(AND(BB4=25,BB5=7.36,BB6="No",BB7="Yes",BB8="No"),AI17,IF(AND(BB4=25,BB5=0,BB6="Yes",BB7="Yes",BB8="No"),AI18,IF(AND(BB4=25,BB5=7.36,BB6="Yes",BB7="Yes",BB8="No"),AI19,IF(AND(BB4=25,BB5=0,BB6="No",BB7="Yes",BB8="Yes"),AI23,IF(AND(BB4=25,BB5=3.68,BB6="No",BB7="Yes",BB8="Yes"),AI24,IF(AND(BB4=25,BB5=7.36,BB6="No",BB7="Yes",BB8="Yes"),AI25,IF(AND(BB4=25,BB5=0,BB6="Yes",BB7="Yes",BB8="Yes"),AI26,IF(AND(BB4=25,BB5=7.36,BB6="Yes",BB7="Yes",BB8="Yes"),AI27,IF(AND(BB4=50,BB5=0,BB6="No",BB7="No",BB8="No"),U4,IF(AND(BB4=50,BB5=3.68,BB6="No",BB7="No",BB8="No"),U5,IF(AND(BB4=50,BB5=7.36,BB6="No",BB7="No",BB8="No"),U6,IF(AND(BB4=50,BB5=0,BB6="Yes",BB7="No",BB8="No"),U7,IF(AND(BB4=50,BB5=7.36,BB6="Yes",BB7="No",BB8="No"),U8,IF(AND(BB4=50,BB5=0,BB6="No",BB7="Yes",BB8="No"),U15,IF(AND(BB4=50,BB5=3.68,BB6="No",BB7="Yes",BB8="No"),U16,IF(AND(BB4=50,BB5=7.36,BB6="No",BB7="Yes",BB8="No"),U17,IF(AND(BB4=50,BB5=0,BB6="Yes",BB7="Yes",BB8="No"),U18,IF(AND(BB4=50,BB5=7.36,BB6="Yes",BB7="Yes",BB8="No"),U19,IF(AND(BB4=50,BB5=0,BB6="No",BB7="Yes",BB8="Yes"),U23,IF(AND(BB4=50,BB5=3.68,BB6="No",BB7="Yes",BB8="Yes"),U24,IF(AND(BB4=50,BB5=7.36,BB6="No",BB7="Yes",BB8="Yes"),U25,IF(AND(BB4=50,BB5=0,BB6="Yes",BB7="Yes",BB8="Yes"),U26,IF(AND(BB4=50,BB5=7.36,BB6="Yes",BB7="Yes",BB8="Yes"),U27,"N/A"))))))))))))))))))))))))))))))))))))))))))))))))))))))))))))</f>
        <v>6.1112200000000003</v>
      </c>
      <c r="BC13" s="1"/>
      <c r="BD13" s="1"/>
      <c r="BE13" s="1"/>
      <c r="BF13" s="1"/>
      <c r="BG13" s="1"/>
      <c r="BH13" s="1"/>
      <c r="BI13" s="1"/>
      <c r="BJ13" s="1"/>
      <c r="BK13" s="1"/>
      <c r="BL13" s="1"/>
      <c r="BM13" s="1"/>
      <c r="BN13" s="1"/>
      <c r="BO13" s="1"/>
      <c r="BP13" s="1"/>
      <c r="BQ13" s="1"/>
      <c r="BR13" s="1"/>
      <c r="BS13" s="1"/>
    </row>
    <row r="14" spans="1:71" x14ac:dyDescent="0.25">
      <c r="A14" s="1"/>
      <c r="B14" s="11" t="s">
        <v>0</v>
      </c>
      <c r="C14" s="11" t="s">
        <v>1</v>
      </c>
      <c r="D14" s="11" t="s">
        <v>2</v>
      </c>
      <c r="E14" s="11" t="s">
        <v>3</v>
      </c>
      <c r="F14" s="8"/>
      <c r="G14" s="8"/>
      <c r="H14" s="8"/>
      <c r="I14" s="8"/>
      <c r="J14" s="8"/>
      <c r="K14" s="15" t="s">
        <v>0</v>
      </c>
      <c r="L14" s="15" t="s">
        <v>1</v>
      </c>
      <c r="M14" s="15" t="s">
        <v>2</v>
      </c>
      <c r="N14" s="15" t="s">
        <v>3</v>
      </c>
      <c r="O14" s="1"/>
      <c r="P14" s="1"/>
      <c r="Q14" s="1"/>
      <c r="R14" s="1"/>
      <c r="S14" s="1"/>
      <c r="T14" s="18" t="s">
        <v>21</v>
      </c>
      <c r="U14" s="7">
        <v>1.93</v>
      </c>
      <c r="V14" s="20">
        <v>0</v>
      </c>
      <c r="W14" s="22">
        <v>0</v>
      </c>
      <c r="X14" s="1"/>
      <c r="Y14" s="1"/>
      <c r="Z14" s="1"/>
      <c r="AA14" s="1"/>
      <c r="AB14" s="18" t="s">
        <v>21</v>
      </c>
      <c r="AC14" s="7">
        <v>4.1100000000000003</v>
      </c>
      <c r="AD14" s="20">
        <v>0</v>
      </c>
      <c r="AE14" s="22">
        <v>0</v>
      </c>
      <c r="AF14" s="1"/>
      <c r="AG14" s="1"/>
      <c r="AH14" s="18" t="s">
        <v>21</v>
      </c>
      <c r="AI14" s="7">
        <v>1.8</v>
      </c>
      <c r="AJ14" s="20">
        <v>0</v>
      </c>
      <c r="AK14" s="22">
        <v>0</v>
      </c>
      <c r="AL14" s="1"/>
      <c r="AM14" s="1"/>
      <c r="AN14" s="18" t="s">
        <v>21</v>
      </c>
      <c r="AO14" s="7">
        <v>1.99</v>
      </c>
      <c r="AP14" s="20">
        <v>0</v>
      </c>
      <c r="AQ14" s="22">
        <v>0</v>
      </c>
      <c r="AR14" s="1"/>
      <c r="AS14" s="1"/>
      <c r="AT14" s="18" t="s">
        <v>21</v>
      </c>
      <c r="AU14" s="7">
        <v>2.0699999999999998</v>
      </c>
      <c r="AV14" s="20">
        <v>0</v>
      </c>
      <c r="AW14" s="22">
        <v>0</v>
      </c>
      <c r="AX14" s="1"/>
      <c r="AY14" s="1"/>
      <c r="AZ14" s="1"/>
      <c r="BA14" s="1"/>
      <c r="BB14" s="1"/>
      <c r="BC14" s="1"/>
      <c r="BD14" s="1"/>
      <c r="BE14" s="1"/>
      <c r="BF14" s="1"/>
      <c r="BG14" s="1"/>
      <c r="BH14" s="1"/>
      <c r="BI14" s="1"/>
      <c r="BJ14" s="1"/>
      <c r="BK14" s="1"/>
      <c r="BL14" s="1"/>
      <c r="BM14" s="1"/>
      <c r="BN14" s="1"/>
      <c r="BO14" s="1"/>
      <c r="BP14" s="1"/>
      <c r="BQ14" s="1"/>
      <c r="BR14" s="1"/>
      <c r="BS14" s="1"/>
    </row>
    <row r="15" spans="1:71" x14ac:dyDescent="0.25">
      <c r="A15" s="1"/>
      <c r="B15" s="16">
        <v>1</v>
      </c>
      <c r="C15" s="7">
        <v>4.1130000000000004</v>
      </c>
      <c r="D15" s="6">
        <v>0.76900000000000002</v>
      </c>
      <c r="E15" s="21">
        <f>D15/C15</f>
        <v>0.18696814976902504</v>
      </c>
      <c r="F15" s="8"/>
      <c r="G15" s="8"/>
      <c r="H15" s="8"/>
      <c r="I15" s="8"/>
      <c r="J15" s="8"/>
      <c r="K15" s="17">
        <v>1</v>
      </c>
      <c r="L15" s="7">
        <f>C15+3.38</f>
        <v>7.4930000000000003</v>
      </c>
      <c r="M15" s="9">
        <v>1.98</v>
      </c>
      <c r="N15" s="21">
        <f>M15/L15</f>
        <v>0.26424663018817562</v>
      </c>
      <c r="O15" s="1"/>
      <c r="P15" s="7">
        <v>5.7279999999999998</v>
      </c>
      <c r="Q15" s="1"/>
      <c r="R15" s="1"/>
      <c r="S15" s="1"/>
      <c r="T15" s="18" t="s">
        <v>33</v>
      </c>
      <c r="U15" s="7">
        <v>1.17669</v>
      </c>
      <c r="V15" s="20">
        <v>-0.75330999999999992</v>
      </c>
      <c r="W15" s="22">
        <v>0.60968393782383423</v>
      </c>
      <c r="X15" s="1"/>
      <c r="Y15" s="1"/>
      <c r="Z15" s="1"/>
      <c r="AA15" s="1"/>
      <c r="AB15" s="18" t="s">
        <v>39</v>
      </c>
      <c r="AC15" s="7">
        <v>2.5089300000000003</v>
      </c>
      <c r="AD15" s="20">
        <v>-1.60107</v>
      </c>
      <c r="AE15" s="22">
        <v>0.61044525547445261</v>
      </c>
      <c r="AF15" s="1"/>
      <c r="AG15" s="1"/>
      <c r="AH15" s="18" t="s">
        <v>39</v>
      </c>
      <c r="AI15" s="7">
        <v>1.0973899999999999</v>
      </c>
      <c r="AJ15" s="20">
        <v>-0.70261000000000018</v>
      </c>
      <c r="AK15" s="22">
        <v>0.60966111111111099</v>
      </c>
      <c r="AL15" s="1"/>
      <c r="AM15" s="1"/>
      <c r="AN15" s="18" t="s">
        <v>39</v>
      </c>
      <c r="AO15" s="7">
        <v>1.2132710362694301</v>
      </c>
      <c r="AP15" s="20">
        <v>-0.77672896373056988</v>
      </c>
      <c r="AQ15" s="22">
        <v>0.60968393782383423</v>
      </c>
      <c r="AR15" s="1"/>
      <c r="AS15" s="1"/>
      <c r="AT15" s="18" t="s">
        <v>39</v>
      </c>
      <c r="AU15" s="7">
        <v>1.2602599999999999</v>
      </c>
      <c r="AV15" s="20">
        <v>-0.8097399999999999</v>
      </c>
      <c r="AW15" s="22">
        <v>0.60882125603864734</v>
      </c>
      <c r="AX15" s="1"/>
      <c r="AY15" s="1"/>
      <c r="BA15" s="125" t="s">
        <v>87</v>
      </c>
      <c r="BB15" s="127">
        <f>BB13+ IF(AND(BB10="Yes",BB6="Yes"),(3.68*0.8),0)+ IF(BB9="Yes",(3.68*0.5),0)</f>
        <v>9.0552200000000003</v>
      </c>
      <c r="BC15" s="1"/>
      <c r="BD15" s="1"/>
      <c r="BE15" s="1"/>
      <c r="BF15" s="1"/>
      <c r="BG15" s="1"/>
      <c r="BH15" s="1"/>
      <c r="BI15" s="1"/>
      <c r="BJ15" s="1"/>
      <c r="BK15" s="1"/>
      <c r="BL15" s="1"/>
      <c r="BM15" s="1"/>
      <c r="BN15" s="1"/>
      <c r="BO15" s="1"/>
      <c r="BP15" s="1"/>
      <c r="BQ15" s="1"/>
      <c r="BR15" s="1"/>
      <c r="BS15" s="1"/>
    </row>
    <row r="16" spans="1:71" x14ac:dyDescent="0.25">
      <c r="A16" s="1"/>
      <c r="B16" s="16">
        <v>25</v>
      </c>
      <c r="C16" s="7">
        <v>1.7989999999999999</v>
      </c>
      <c r="D16" s="6">
        <v>0.34300000000000003</v>
      </c>
      <c r="E16" s="21">
        <f t="shared" ref="E16:E19" si="10">D16/C16</f>
        <v>0.19066147859922181</v>
      </c>
      <c r="F16" s="8"/>
      <c r="G16" s="8"/>
      <c r="H16" s="8"/>
      <c r="I16" s="8"/>
      <c r="J16" s="8"/>
      <c r="K16" s="17">
        <v>25</v>
      </c>
      <c r="L16" s="7">
        <f>C16+3.38</f>
        <v>5.1790000000000003</v>
      </c>
      <c r="M16" s="9">
        <v>0.67300000000000004</v>
      </c>
      <c r="N16" s="21">
        <f t="shared" ref="N16:N19" si="11">M16/L16</f>
        <v>0.12994786638347172</v>
      </c>
      <c r="O16" s="1"/>
      <c r="P16" s="7">
        <v>2.661</v>
      </c>
      <c r="Q16" s="1">
        <f>P15/P16</f>
        <v>2.152574220217963</v>
      </c>
      <c r="R16" s="1"/>
      <c r="S16" s="1"/>
      <c r="T16" s="18" t="s">
        <v>34</v>
      </c>
      <c r="U16" s="28">
        <v>2.3192200000000001</v>
      </c>
      <c r="V16" s="20">
        <v>0.38922000000000012</v>
      </c>
      <c r="W16" s="22">
        <v>1.2016683937823835</v>
      </c>
      <c r="X16" s="1"/>
      <c r="Y16" s="1"/>
      <c r="Z16" s="1"/>
      <c r="AA16" s="1"/>
      <c r="AB16" s="18" t="s">
        <v>34</v>
      </c>
      <c r="AC16" s="7">
        <v>4.3980999999999995</v>
      </c>
      <c r="AD16" s="20">
        <v>0.28809999999999913</v>
      </c>
      <c r="AE16" s="22">
        <v>1.070097323600973</v>
      </c>
      <c r="AF16" s="1"/>
      <c r="AG16" s="1"/>
      <c r="AH16" s="18" t="s">
        <v>34</v>
      </c>
      <c r="AI16" s="7">
        <v>2.40523</v>
      </c>
      <c r="AJ16" s="20">
        <v>0.60522999999999993</v>
      </c>
      <c r="AK16" s="22">
        <v>1.3362388888888888</v>
      </c>
      <c r="AL16" s="1"/>
      <c r="AM16" s="1"/>
      <c r="AN16" s="18" t="s">
        <v>34</v>
      </c>
      <c r="AO16" s="7">
        <v>2.1580284758189512</v>
      </c>
      <c r="AP16" s="20">
        <v>0.1680284758189512</v>
      </c>
      <c r="AQ16" s="22">
        <v>1.0844364200095231</v>
      </c>
      <c r="AR16" s="1"/>
      <c r="AS16" s="1"/>
      <c r="AT16" s="18" t="s">
        <v>34</v>
      </c>
      <c r="AU16" s="7">
        <v>2.2765200000000001</v>
      </c>
      <c r="AV16" s="20">
        <v>0.20652000000000026</v>
      </c>
      <c r="AW16" s="22">
        <v>1.0997681159420292</v>
      </c>
      <c r="AX16" s="1"/>
      <c r="AY16" s="1"/>
      <c r="AZ16" s="1"/>
      <c r="BA16" s="1"/>
      <c r="BB16" s="1"/>
      <c r="BC16" s="1"/>
      <c r="BD16" s="1"/>
      <c r="BE16" s="1"/>
      <c r="BF16" s="1"/>
      <c r="BG16" s="1"/>
      <c r="BH16" s="1"/>
      <c r="BI16" s="1"/>
      <c r="BJ16" s="1"/>
      <c r="BK16" s="1"/>
      <c r="BL16" s="1"/>
      <c r="BM16" s="1"/>
      <c r="BN16" s="1"/>
      <c r="BO16" s="1"/>
      <c r="BP16" s="1"/>
      <c r="BQ16" s="1"/>
      <c r="BR16" s="1"/>
      <c r="BS16" s="1"/>
    </row>
    <row r="17" spans="1:71" x14ac:dyDescent="0.25">
      <c r="A17" s="1"/>
      <c r="B17" s="16">
        <v>50</v>
      </c>
      <c r="C17" s="7">
        <v>1.929</v>
      </c>
      <c r="D17" s="6">
        <v>0.35799999999999998</v>
      </c>
      <c r="E17" s="21">
        <f t="shared" si="10"/>
        <v>0.18558838776568168</v>
      </c>
      <c r="F17" s="8"/>
      <c r="G17" s="8"/>
      <c r="H17" s="8"/>
      <c r="I17" s="8"/>
      <c r="J17" s="8"/>
      <c r="K17" s="17">
        <v>50</v>
      </c>
      <c r="L17" s="7">
        <f t="shared" ref="L17:L19" si="12">C17+3.38</f>
        <v>5.3090000000000002</v>
      </c>
      <c r="M17" s="9">
        <v>0.38700000000000001</v>
      </c>
      <c r="N17" s="21">
        <f t="shared" si="11"/>
        <v>7.289508381992843E-2</v>
      </c>
      <c r="O17" s="1"/>
      <c r="P17" s="7">
        <v>2.2069999999999999</v>
      </c>
      <c r="Q17" s="1">
        <f t="shared" ref="Q17:Q19" si="13">P16/P17</f>
        <v>1.2057091073855914</v>
      </c>
      <c r="R17" s="1"/>
      <c r="S17" s="1"/>
      <c r="T17" s="18" t="s">
        <v>35</v>
      </c>
      <c r="U17" s="28">
        <v>3.3154230984743402</v>
      </c>
      <c r="V17" s="20">
        <v>1.3854230984743403</v>
      </c>
      <c r="W17" s="22">
        <v>1.7178358023183111</v>
      </c>
      <c r="X17" s="1"/>
      <c r="Y17" s="1"/>
      <c r="Z17" s="1"/>
      <c r="AA17" s="1"/>
      <c r="AB17" s="18" t="s">
        <v>35</v>
      </c>
      <c r="AC17" s="7">
        <v>6.2872699999999986</v>
      </c>
      <c r="AD17" s="20">
        <v>2.1772699999999983</v>
      </c>
      <c r="AE17" s="22">
        <v>1.5297493917274934</v>
      </c>
      <c r="AF17" s="1"/>
      <c r="AG17" s="1"/>
      <c r="AH17" s="18" t="s">
        <v>35</v>
      </c>
      <c r="AI17" s="7">
        <v>3.4383780319001382</v>
      </c>
      <c r="AJ17" s="20">
        <v>1.6383780319001382</v>
      </c>
      <c r="AK17" s="22">
        <v>1.9102100177222989</v>
      </c>
      <c r="AL17" s="1"/>
      <c r="AM17" s="1"/>
      <c r="AN17" s="18" t="s">
        <v>35</v>
      </c>
      <c r="AO17" s="7">
        <v>3.0849929958759947</v>
      </c>
      <c r="AP17" s="20">
        <v>1.0949929958759947</v>
      </c>
      <c r="AQ17" s="22">
        <v>1.5502477366211029</v>
      </c>
      <c r="AR17" s="1"/>
      <c r="AS17" s="1"/>
      <c r="AT17" s="18" t="s">
        <v>35</v>
      </c>
      <c r="AU17" s="7">
        <v>3.2543816421636609</v>
      </c>
      <c r="AV17" s="20">
        <v>1.184381642163661</v>
      </c>
      <c r="AW17" s="22">
        <v>1.5721650445235078</v>
      </c>
      <c r="AX17" s="1"/>
      <c r="AY17" s="1"/>
      <c r="AZ17" s="1"/>
      <c r="BA17" s="125" t="s">
        <v>126</v>
      </c>
      <c r="BB17" s="128">
        <f>IF(AND(BB11="Yes",BB5=7.36,BB7="No",BB6= "Yes"),(BB15-3.5),BB15)</f>
        <v>9.0552200000000003</v>
      </c>
      <c r="BC17" s="1"/>
      <c r="BD17" s="1"/>
      <c r="BE17" s="1"/>
      <c r="BF17" s="1"/>
      <c r="BG17" s="1"/>
      <c r="BH17" s="1"/>
      <c r="BI17" s="1"/>
      <c r="BJ17" s="1"/>
      <c r="BK17" s="1"/>
      <c r="BL17" s="1"/>
      <c r="BM17" s="1"/>
      <c r="BN17" s="1"/>
      <c r="BO17" s="1"/>
      <c r="BP17" s="1"/>
      <c r="BQ17" s="1"/>
      <c r="BR17" s="1"/>
      <c r="BS17" s="1"/>
    </row>
    <row r="18" spans="1:71" x14ac:dyDescent="0.25">
      <c r="A18" s="1"/>
      <c r="B18" s="16">
        <v>75</v>
      </c>
      <c r="C18" s="7">
        <v>1.9930000000000001</v>
      </c>
      <c r="D18" s="6">
        <v>0.311</v>
      </c>
      <c r="E18" s="21">
        <f t="shared" si="10"/>
        <v>0.15604616156547918</v>
      </c>
      <c r="F18" s="8"/>
      <c r="G18" s="8"/>
      <c r="H18" s="8"/>
      <c r="I18" s="8"/>
      <c r="J18" s="8"/>
      <c r="K18" s="17">
        <v>75</v>
      </c>
      <c r="L18" s="7">
        <f t="shared" si="12"/>
        <v>5.3730000000000002</v>
      </c>
      <c r="M18" s="9">
        <v>0.221</v>
      </c>
      <c r="N18" s="21">
        <f t="shared" si="11"/>
        <v>4.1131583845151684E-2</v>
      </c>
      <c r="O18" s="1"/>
      <c r="P18" s="7">
        <v>2.048</v>
      </c>
      <c r="Q18" s="1">
        <f t="shared" si="13"/>
        <v>1.07763671875</v>
      </c>
      <c r="R18" s="1"/>
      <c r="S18" s="1"/>
      <c r="T18" s="18" t="s">
        <v>36</v>
      </c>
      <c r="U18" s="28">
        <v>1.5331213704608941</v>
      </c>
      <c r="V18" s="20">
        <v>-0.3968786295391058</v>
      </c>
      <c r="W18" s="22">
        <v>0.79436340438388298</v>
      </c>
      <c r="X18" s="1"/>
      <c r="Y18" s="1"/>
      <c r="Z18" s="1"/>
      <c r="AA18" s="1"/>
      <c r="AB18" s="18" t="s">
        <v>36</v>
      </c>
      <c r="AC18" s="7">
        <v>3.9790300000000003</v>
      </c>
      <c r="AD18" s="20">
        <v>-0.13097000000000003</v>
      </c>
      <c r="AE18" s="22">
        <v>0.96813381995133818</v>
      </c>
      <c r="AF18" s="1"/>
      <c r="AG18" s="1"/>
      <c r="AH18" s="18" t="s">
        <v>36</v>
      </c>
      <c r="AI18" s="7">
        <v>1.8484983990921793</v>
      </c>
      <c r="AJ18" s="20">
        <v>4.8498399092179234E-2</v>
      </c>
      <c r="AK18" s="22">
        <v>1.0269435550512107</v>
      </c>
      <c r="AL18" s="1"/>
      <c r="AM18" s="1"/>
      <c r="AN18" s="18" t="s">
        <v>36</v>
      </c>
      <c r="AO18" s="7">
        <v>1.5807831747239274</v>
      </c>
      <c r="AP18" s="20">
        <v>-0.40921682527607262</v>
      </c>
      <c r="AQ18" s="22">
        <v>0.79436340438388309</v>
      </c>
      <c r="AR18" s="1"/>
      <c r="AS18" s="1"/>
      <c r="AT18" s="18" t="s">
        <v>36</v>
      </c>
      <c r="AU18" s="7">
        <v>1.3754328561452516</v>
      </c>
      <c r="AV18" s="20">
        <v>-0.69456714385474827</v>
      </c>
      <c r="AW18" s="22">
        <v>0.66446031697838248</v>
      </c>
      <c r="AX18" s="1"/>
      <c r="AY18" s="1"/>
      <c r="AZ18" s="1"/>
      <c r="BA18" s="1"/>
      <c r="BB18" s="1"/>
      <c r="BC18" s="1"/>
      <c r="BD18" s="1"/>
      <c r="BF18" s="1"/>
      <c r="BG18" s="1"/>
      <c r="BH18" s="1"/>
      <c r="BI18" s="1"/>
      <c r="BJ18" s="1"/>
      <c r="BK18" s="1"/>
      <c r="BL18" s="1"/>
      <c r="BM18" s="1"/>
      <c r="BN18" s="1"/>
      <c r="BO18" s="1"/>
      <c r="BP18" s="1"/>
      <c r="BQ18" s="1"/>
      <c r="BR18" s="1"/>
      <c r="BS18" s="1"/>
    </row>
    <row r="19" spans="1:71" x14ac:dyDescent="0.25">
      <c r="A19" s="1"/>
      <c r="B19" s="16">
        <v>100</v>
      </c>
      <c r="C19" s="7">
        <v>2.0659999999999998</v>
      </c>
      <c r="D19" s="6">
        <v>0.22900000000000001</v>
      </c>
      <c r="E19" s="21">
        <f t="shared" si="10"/>
        <v>0.11084220716360117</v>
      </c>
      <c r="F19" s="8"/>
      <c r="G19" s="8"/>
      <c r="H19" s="8"/>
      <c r="I19" s="8"/>
      <c r="J19" s="8"/>
      <c r="K19" s="17">
        <v>100</v>
      </c>
      <c r="L19" s="7">
        <f t="shared" si="12"/>
        <v>5.4459999999999997</v>
      </c>
      <c r="M19" s="9">
        <v>0.128</v>
      </c>
      <c r="N19" s="21">
        <f t="shared" si="11"/>
        <v>2.3503488799118621E-2</v>
      </c>
      <c r="O19" s="1"/>
      <c r="P19" s="7">
        <v>1.98</v>
      </c>
      <c r="Q19" s="1">
        <f t="shared" si="13"/>
        <v>1.0343434343434343</v>
      </c>
      <c r="R19" s="1"/>
      <c r="S19" s="1"/>
      <c r="T19" s="18" t="s">
        <v>58</v>
      </c>
      <c r="U19" s="28">
        <v>3.4751892620631475</v>
      </c>
      <c r="V19" s="20">
        <v>1.5451892620631476</v>
      </c>
      <c r="W19" s="22">
        <v>1.80061619796018</v>
      </c>
      <c r="X19" s="1"/>
      <c r="Y19" s="1"/>
      <c r="Z19" s="1"/>
      <c r="AA19" s="1"/>
      <c r="AB19" s="18" t="s">
        <v>58</v>
      </c>
      <c r="AC19" s="7">
        <v>7.757369999999999</v>
      </c>
      <c r="AD19" s="20">
        <v>3.6473699999999987</v>
      </c>
      <c r="AE19" s="22">
        <v>1.8874379562043793</v>
      </c>
      <c r="AF19" s="1"/>
      <c r="AG19" s="1"/>
      <c r="AH19" s="18" t="s">
        <v>58</v>
      </c>
      <c r="AI19" s="7">
        <v>3.897068292872472</v>
      </c>
      <c r="AJ19" s="20">
        <v>2.0970682928724722</v>
      </c>
      <c r="AK19" s="22">
        <v>2.1650379404847064</v>
      </c>
      <c r="AL19" s="1"/>
      <c r="AM19" s="1"/>
      <c r="AN19" s="18" t="s">
        <v>58</v>
      </c>
      <c r="AO19" s="7">
        <v>3.1320483235941654</v>
      </c>
      <c r="AP19" s="20">
        <v>1.1420483235941654</v>
      </c>
      <c r="AQ19" s="22">
        <v>1.5738936299468167</v>
      </c>
      <c r="AR19" s="1"/>
      <c r="AS19" s="1"/>
      <c r="AT19" s="18" t="s">
        <v>58</v>
      </c>
      <c r="AU19" s="7">
        <v>3.2592698022413376</v>
      </c>
      <c r="AV19" s="20">
        <v>1.1892698022413377</v>
      </c>
      <c r="AW19" s="22">
        <v>1.5745264745127237</v>
      </c>
      <c r="AX19" s="1"/>
      <c r="AY19" s="1"/>
      <c r="AZ19" s="1"/>
      <c r="BA19" s="1"/>
      <c r="BB19" s="1"/>
      <c r="BC19" s="1"/>
      <c r="BD19" s="1"/>
      <c r="BE19" s="1"/>
      <c r="BF19" s="1"/>
      <c r="BG19" s="1"/>
      <c r="BH19" s="1"/>
      <c r="BI19" s="1"/>
      <c r="BJ19" s="1"/>
      <c r="BK19" s="1"/>
      <c r="BL19" s="1"/>
      <c r="BM19" s="1"/>
      <c r="BN19" s="1"/>
      <c r="BO19" s="1"/>
      <c r="BP19" s="1"/>
      <c r="BQ19" s="1"/>
      <c r="BR19" s="1"/>
      <c r="BS19" s="1"/>
    </row>
    <row r="20" spans="1:71" x14ac:dyDescent="0.25">
      <c r="A20" s="1"/>
      <c r="B20" s="8"/>
      <c r="C20" s="8"/>
      <c r="D20" s="8"/>
      <c r="E20" s="8"/>
      <c r="F20" s="8"/>
      <c r="G20" s="8"/>
      <c r="H20" s="8"/>
      <c r="I20" s="8"/>
      <c r="J20" s="8"/>
      <c r="K20" s="12"/>
      <c r="L20" s="12"/>
      <c r="M20" s="12"/>
      <c r="N20" s="1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x14ac:dyDescent="0.25">
      <c r="A21" s="1"/>
      <c r="B21" s="8" t="s">
        <v>6</v>
      </c>
      <c r="C21" s="8"/>
      <c r="D21" s="8"/>
      <c r="E21" s="8"/>
      <c r="F21" s="8"/>
      <c r="G21" s="8"/>
      <c r="H21" s="8"/>
      <c r="I21" s="8"/>
      <c r="J21" s="1"/>
      <c r="K21" s="474" t="s">
        <v>205</v>
      </c>
      <c r="L21" s="474"/>
      <c r="M21" s="474"/>
      <c r="N21" s="474"/>
      <c r="P21" s="1"/>
      <c r="Q21" s="1"/>
      <c r="R21" s="1"/>
      <c r="S21" s="1"/>
      <c r="T21" s="19" t="s">
        <v>23</v>
      </c>
      <c r="U21" s="19" t="s">
        <v>8</v>
      </c>
      <c r="V21" s="19" t="s">
        <v>12</v>
      </c>
      <c r="W21" s="19" t="s">
        <v>13</v>
      </c>
      <c r="X21" s="1"/>
      <c r="Y21" s="1"/>
      <c r="Z21" s="1"/>
      <c r="AA21" s="1"/>
      <c r="AB21" s="19" t="s">
        <v>32</v>
      </c>
      <c r="AC21" s="19" t="s">
        <v>8</v>
      </c>
      <c r="AD21" s="19" t="s">
        <v>12</v>
      </c>
      <c r="AE21" s="19" t="s">
        <v>13</v>
      </c>
      <c r="AF21" s="1"/>
      <c r="AG21" s="1"/>
      <c r="AH21" s="19" t="s">
        <v>44</v>
      </c>
      <c r="AI21" s="19" t="s">
        <v>8</v>
      </c>
      <c r="AJ21" s="19" t="s">
        <v>12</v>
      </c>
      <c r="AK21" s="19" t="s">
        <v>13</v>
      </c>
      <c r="AL21" s="1"/>
      <c r="AM21" s="1"/>
      <c r="AN21" s="19" t="s">
        <v>46</v>
      </c>
      <c r="AO21" s="19" t="s">
        <v>8</v>
      </c>
      <c r="AP21" s="19" t="s">
        <v>12</v>
      </c>
      <c r="AQ21" s="19" t="s">
        <v>13</v>
      </c>
      <c r="AR21" s="1"/>
      <c r="AS21" s="1"/>
      <c r="AT21" s="19" t="s">
        <v>48</v>
      </c>
      <c r="AU21" s="19" t="s">
        <v>8</v>
      </c>
      <c r="AV21" s="19" t="s">
        <v>12</v>
      </c>
      <c r="AW21" s="19" t="s">
        <v>13</v>
      </c>
      <c r="AX21" s="1"/>
      <c r="AY21" s="1"/>
      <c r="AZ21" s="1"/>
      <c r="BA21" s="1"/>
      <c r="BB21" s="1"/>
      <c r="BC21" s="1"/>
      <c r="BD21" s="1"/>
      <c r="BE21" s="1"/>
      <c r="BF21" s="1"/>
      <c r="BG21" s="1"/>
      <c r="BH21" s="1"/>
      <c r="BI21" s="1"/>
      <c r="BJ21" s="1"/>
      <c r="BK21" s="1"/>
      <c r="BL21" s="1"/>
      <c r="BM21" s="1"/>
      <c r="BN21" s="1"/>
      <c r="BO21" s="1"/>
      <c r="BP21" s="1"/>
      <c r="BQ21" s="1"/>
      <c r="BR21" s="1"/>
      <c r="BS21" s="1"/>
    </row>
    <row r="22" spans="1:71" x14ac:dyDescent="0.25">
      <c r="A22" s="1"/>
      <c r="B22" s="11" t="s">
        <v>0</v>
      </c>
      <c r="C22" s="11" t="s">
        <v>1</v>
      </c>
      <c r="D22" s="11" t="s">
        <v>2</v>
      </c>
      <c r="E22" s="11" t="s">
        <v>3</v>
      </c>
      <c r="F22" s="8"/>
      <c r="G22" s="8"/>
      <c r="H22" s="8"/>
      <c r="I22" s="8"/>
      <c r="J22" s="1"/>
      <c r="K22" s="15" t="s">
        <v>0</v>
      </c>
      <c r="L22" s="15" t="s">
        <v>1</v>
      </c>
      <c r="M22" s="15" t="s">
        <v>2</v>
      </c>
      <c r="N22" s="15" t="s">
        <v>3</v>
      </c>
      <c r="O22" s="475"/>
      <c r="P22" s="1"/>
      <c r="Q22" s="1"/>
      <c r="R22" s="1"/>
      <c r="S22" s="1"/>
      <c r="T22" s="18" t="s">
        <v>21</v>
      </c>
      <c r="U22" s="7">
        <v>1.93</v>
      </c>
      <c r="V22" s="20">
        <v>0</v>
      </c>
      <c r="W22" s="22">
        <v>0</v>
      </c>
      <c r="X22" s="1"/>
      <c r="Y22" s="1"/>
      <c r="Z22" s="1"/>
      <c r="AA22" s="1"/>
      <c r="AB22" s="18" t="s">
        <v>21</v>
      </c>
      <c r="AC22" s="7">
        <v>4.1100000000000003</v>
      </c>
      <c r="AD22" s="20">
        <v>0</v>
      </c>
      <c r="AE22" s="22">
        <v>0</v>
      </c>
      <c r="AF22" s="1"/>
      <c r="AG22" s="1"/>
      <c r="AH22" s="18" t="s">
        <v>21</v>
      </c>
      <c r="AI22" s="7">
        <v>1.8</v>
      </c>
      <c r="AJ22" s="20">
        <v>0</v>
      </c>
      <c r="AK22" s="22">
        <v>0</v>
      </c>
      <c r="AL22" s="1"/>
      <c r="AM22" s="1"/>
      <c r="AN22" s="18" t="s">
        <v>21</v>
      </c>
      <c r="AO22" s="7">
        <v>1.99</v>
      </c>
      <c r="AP22" s="20">
        <v>0</v>
      </c>
      <c r="AQ22" s="22">
        <v>0</v>
      </c>
      <c r="AR22" s="1"/>
      <c r="AS22" s="1"/>
      <c r="AT22" s="18" t="s">
        <v>21</v>
      </c>
      <c r="AU22" s="7">
        <v>2.0699999999999998</v>
      </c>
      <c r="AV22" s="20">
        <v>0</v>
      </c>
      <c r="AW22" s="22">
        <v>0</v>
      </c>
      <c r="AX22" s="1"/>
      <c r="AY22" s="1"/>
      <c r="AZ22" s="1"/>
      <c r="BA22" s="1"/>
      <c r="BB22" s="1"/>
      <c r="BC22" s="1"/>
      <c r="BD22" s="1"/>
      <c r="BE22" s="1"/>
      <c r="BF22" s="1"/>
      <c r="BG22" s="1"/>
      <c r="BH22" s="1"/>
      <c r="BI22" s="1"/>
      <c r="BJ22" s="1"/>
      <c r="BK22" s="1"/>
      <c r="BL22" s="1"/>
      <c r="BM22" s="1"/>
      <c r="BN22" s="1"/>
      <c r="BO22" s="1"/>
      <c r="BP22" s="1"/>
      <c r="BQ22" s="1"/>
      <c r="BR22" s="1"/>
      <c r="BS22" s="1"/>
    </row>
    <row r="23" spans="1:71" x14ac:dyDescent="0.25">
      <c r="A23" s="1"/>
      <c r="B23" s="16">
        <v>1</v>
      </c>
      <c r="C23" s="7">
        <v>7.21</v>
      </c>
      <c r="D23" s="6">
        <v>0.9</v>
      </c>
      <c r="E23" s="21">
        <f>D23/C23</f>
        <v>0.12482662968099861</v>
      </c>
      <c r="F23" s="8"/>
      <c r="G23" s="8"/>
      <c r="H23" s="8"/>
      <c r="I23" s="8"/>
      <c r="J23" s="1"/>
      <c r="K23" s="17">
        <v>1</v>
      </c>
      <c r="L23" s="7">
        <f>L15+7.36*$K$44</f>
        <v>13.686999999999999</v>
      </c>
      <c r="M23" s="9">
        <f>L23*N23</f>
        <v>2.6626228539146939</v>
      </c>
      <c r="N23" s="21">
        <f>(N15+E23)/2</f>
        <v>0.19453662993458712</v>
      </c>
      <c r="O23" s="475"/>
      <c r="P23" s="1"/>
      <c r="Q23" s="1"/>
      <c r="R23" s="1"/>
      <c r="S23" s="1"/>
      <c r="T23" s="18" t="s">
        <v>28</v>
      </c>
      <c r="U23" s="7">
        <v>1.1413892999999999</v>
      </c>
      <c r="V23" s="20">
        <v>-0.7886107</v>
      </c>
      <c r="W23" s="22">
        <v>0.59139341968911918</v>
      </c>
      <c r="X23" s="1"/>
      <c r="Y23" s="1"/>
      <c r="Z23" s="1"/>
      <c r="AA23" s="1"/>
      <c r="AB23" s="18" t="s">
        <v>28</v>
      </c>
      <c r="AC23" s="7">
        <v>2.4336621000000003</v>
      </c>
      <c r="AD23" s="20">
        <v>-1.6763379</v>
      </c>
      <c r="AE23" s="22">
        <v>0.59213189781021902</v>
      </c>
      <c r="AF23" s="1"/>
      <c r="AG23" s="1"/>
      <c r="AH23" s="18" t="s">
        <v>28</v>
      </c>
      <c r="AI23" s="7">
        <v>1.0644682999999999</v>
      </c>
      <c r="AJ23" s="20">
        <v>-0.73553170000000012</v>
      </c>
      <c r="AK23" s="22">
        <v>0.59137127777777776</v>
      </c>
      <c r="AL23" s="1"/>
      <c r="AM23" s="1"/>
      <c r="AN23" s="18" t="s">
        <v>28</v>
      </c>
      <c r="AO23" s="7">
        <v>0.63111666666666666</v>
      </c>
      <c r="AP23" s="20">
        <v>-1.3588833333333334</v>
      </c>
      <c r="AQ23" s="22">
        <v>0.31714405360134001</v>
      </c>
      <c r="AR23" s="1"/>
      <c r="AS23" s="1"/>
      <c r="AT23" s="18" t="s">
        <v>28</v>
      </c>
      <c r="AU23" s="7">
        <v>1.2224522</v>
      </c>
      <c r="AV23" s="20">
        <v>-0.84754779999999985</v>
      </c>
      <c r="AW23" s="22">
        <v>0.61429758793969846</v>
      </c>
      <c r="AX23" s="1"/>
      <c r="AY23" s="1"/>
      <c r="AZ23" s="1"/>
      <c r="BB23" s="1"/>
      <c r="BC23" s="1"/>
      <c r="BD23" s="1"/>
      <c r="BE23" s="1"/>
      <c r="BF23" s="1"/>
      <c r="BG23" s="1"/>
      <c r="BH23" s="1"/>
      <c r="BI23" s="1"/>
      <c r="BJ23" s="1"/>
      <c r="BK23" s="1"/>
      <c r="BL23" s="1"/>
      <c r="BM23" s="1"/>
      <c r="BN23" s="1"/>
      <c r="BO23" s="1"/>
      <c r="BP23" s="1"/>
      <c r="BQ23" s="1"/>
      <c r="BR23" s="1"/>
      <c r="BS23" s="1"/>
    </row>
    <row r="24" spans="1:71" x14ac:dyDescent="0.25">
      <c r="A24" s="1"/>
      <c r="B24" s="16">
        <v>25</v>
      </c>
      <c r="C24" s="7">
        <v>3.9430000000000001</v>
      </c>
      <c r="D24" s="6">
        <v>0.36299999999999999</v>
      </c>
      <c r="E24" s="21">
        <f t="shared" ref="E24:E27" si="14">D24/C24</f>
        <v>9.2061881815876226E-2</v>
      </c>
      <c r="F24" s="8"/>
      <c r="G24" s="8"/>
      <c r="H24" s="8"/>
      <c r="I24" s="8"/>
      <c r="J24" s="1"/>
      <c r="K24" s="17">
        <v>25</v>
      </c>
      <c r="L24" s="7">
        <f>L23/H46</f>
        <v>8.3575511734391288</v>
      </c>
      <c r="M24" s="9">
        <f>L24*N24</f>
        <v>0.92772891578919292</v>
      </c>
      <c r="N24" s="21">
        <f>(N16+E24)/2</f>
        <v>0.11100487409967397</v>
      </c>
      <c r="O24" s="475"/>
      <c r="P24" s="1"/>
      <c r="Q24" s="1"/>
      <c r="R24" s="1"/>
      <c r="S24" s="1"/>
      <c r="T24" s="18" t="s">
        <v>25</v>
      </c>
      <c r="U24" s="28">
        <v>2.2496434000000001</v>
      </c>
      <c r="V24" s="20">
        <v>0.31964340000000013</v>
      </c>
      <c r="W24" s="22">
        <v>1.1656183419689119</v>
      </c>
      <c r="X24" s="1"/>
      <c r="Y24" s="1"/>
      <c r="Z24" s="1"/>
      <c r="AA24" s="1"/>
      <c r="AB24" s="18" t="s">
        <v>25</v>
      </c>
      <c r="AC24" s="28">
        <v>4.2661569999999998</v>
      </c>
      <c r="AD24" s="20">
        <v>0.15615699999999944</v>
      </c>
      <c r="AE24" s="22">
        <v>1.0379944038929438</v>
      </c>
      <c r="AF24" s="1"/>
      <c r="AG24" s="1"/>
      <c r="AH24" s="18" t="s">
        <v>25</v>
      </c>
      <c r="AI24" s="28">
        <v>2.3330731</v>
      </c>
      <c r="AJ24" s="20">
        <v>0.53307309999999997</v>
      </c>
      <c r="AK24" s="22">
        <v>1.2961517222222223</v>
      </c>
      <c r="AL24" s="1"/>
      <c r="AM24" s="1"/>
      <c r="AN24" s="18" t="s">
        <v>25</v>
      </c>
      <c r="AO24" s="28">
        <v>2.4486948867939908</v>
      </c>
      <c r="AP24" s="20">
        <v>0.45869488679399084</v>
      </c>
      <c r="AQ24" s="22">
        <v>1.2304999431125583</v>
      </c>
      <c r="AR24" s="1"/>
      <c r="AS24" s="1"/>
      <c r="AT24" s="18" t="s">
        <v>25</v>
      </c>
      <c r="AU24" s="28">
        <v>2.2082244000000002</v>
      </c>
      <c r="AV24" s="20">
        <v>0.13822440000000036</v>
      </c>
      <c r="AW24" s="22">
        <v>1.109660502512563</v>
      </c>
      <c r="AX24" s="1"/>
      <c r="AY24" s="1"/>
      <c r="AZ24" s="1"/>
      <c r="BA24" s="1"/>
      <c r="BB24" s="1"/>
      <c r="BC24" s="1"/>
      <c r="BD24" s="1"/>
      <c r="BE24" s="1"/>
      <c r="BF24" s="1"/>
      <c r="BG24" s="1"/>
      <c r="BH24" s="1"/>
      <c r="BI24" s="1"/>
      <c r="BJ24" s="1"/>
      <c r="BK24" s="1"/>
      <c r="BL24" s="1"/>
      <c r="BM24" s="1"/>
      <c r="BN24" s="1"/>
      <c r="BO24" s="1"/>
      <c r="BP24" s="1"/>
      <c r="BQ24" s="1"/>
      <c r="BR24" s="1"/>
      <c r="BS24" s="1"/>
    </row>
    <row r="25" spans="1:71" ht="15" customHeight="1" x14ac:dyDescent="0.25">
      <c r="A25" s="1"/>
      <c r="B25" s="16">
        <v>50</v>
      </c>
      <c r="C25" s="7">
        <v>3.802</v>
      </c>
      <c r="D25" s="6">
        <v>0.15</v>
      </c>
      <c r="E25" s="21">
        <f t="shared" si="14"/>
        <v>3.9452919516044183E-2</v>
      </c>
      <c r="F25" s="8"/>
      <c r="G25" s="8"/>
      <c r="H25" s="8"/>
      <c r="I25" s="8"/>
      <c r="J25" s="1"/>
      <c r="K25" s="17">
        <v>50</v>
      </c>
      <c r="L25" s="7">
        <f>L24/H47</f>
        <v>8.3052322644467562</v>
      </c>
      <c r="M25" s="9">
        <f t="shared" ref="M25:M27" si="15">L25*N25</f>
        <v>0.46653813107604575</v>
      </c>
      <c r="N25" s="21">
        <f>(N17+E25)/2</f>
        <v>5.6174001667986306E-2</v>
      </c>
      <c r="O25" s="475"/>
      <c r="P25" s="1"/>
      <c r="Q25" s="1"/>
      <c r="R25" s="1"/>
      <c r="S25" s="1"/>
      <c r="T25" s="18" t="s">
        <v>26</v>
      </c>
      <c r="U25" s="28">
        <v>3.2159604055201099</v>
      </c>
      <c r="V25" s="20">
        <v>1.2859604055201099</v>
      </c>
      <c r="W25" s="22">
        <v>1.6663007282487616</v>
      </c>
      <c r="X25" s="1"/>
      <c r="Y25" s="1"/>
      <c r="Z25" s="1"/>
      <c r="AA25" s="1"/>
      <c r="AB25" s="18" t="s">
        <v>26</v>
      </c>
      <c r="AC25" s="28">
        <v>6.0986518999999983</v>
      </c>
      <c r="AD25" s="20">
        <v>1.988651899999998</v>
      </c>
      <c r="AE25" s="22">
        <v>1.4838569099756687</v>
      </c>
      <c r="AF25" s="1"/>
      <c r="AG25" s="1"/>
      <c r="AH25" s="18" t="s">
        <v>26</v>
      </c>
      <c r="AI25" s="28">
        <v>3.3352266909431338</v>
      </c>
      <c r="AJ25" s="20">
        <v>1.5352266909431338</v>
      </c>
      <c r="AK25" s="22">
        <v>1.85290371719063</v>
      </c>
      <c r="AL25" s="1"/>
      <c r="AM25" s="1"/>
      <c r="AN25" s="18" t="s">
        <v>26</v>
      </c>
      <c r="AO25" s="28">
        <v>3.5005129262393422</v>
      </c>
      <c r="AP25" s="20">
        <v>1.5105129262393422</v>
      </c>
      <c r="AQ25" s="22">
        <v>1.7590517217283126</v>
      </c>
      <c r="AR25" s="1"/>
      <c r="AS25" s="1"/>
      <c r="AT25" s="18" t="s">
        <v>26</v>
      </c>
      <c r="AU25" s="28">
        <v>3.1567501928987509</v>
      </c>
      <c r="AV25" s="20">
        <v>1.0867501928987511</v>
      </c>
      <c r="AW25" s="22">
        <v>1.5863066295973622</v>
      </c>
      <c r="AX25" s="1"/>
      <c r="AY25" s="1"/>
      <c r="AZ25" s="1"/>
      <c r="BA25" s="1"/>
      <c r="BB25" s="1"/>
      <c r="BC25" s="1"/>
      <c r="BD25" s="1"/>
      <c r="BE25" s="1"/>
      <c r="BF25" s="1"/>
      <c r="BG25" s="1"/>
      <c r="BH25" s="1"/>
      <c r="BI25" s="1"/>
      <c r="BJ25" s="1"/>
      <c r="BK25" s="1"/>
      <c r="BL25" s="1"/>
      <c r="BM25" s="1"/>
      <c r="BN25" s="1"/>
      <c r="BO25" s="1"/>
      <c r="BP25" s="1"/>
      <c r="BQ25" s="1"/>
      <c r="BR25" s="1"/>
      <c r="BS25" s="1"/>
    </row>
    <row r="26" spans="1:71" x14ac:dyDescent="0.25">
      <c r="A26" s="1"/>
      <c r="B26" s="16">
        <v>75</v>
      </c>
      <c r="C26" s="7">
        <v>3.7570000000000001</v>
      </c>
      <c r="D26" s="6">
        <v>8.6999999999999994E-2</v>
      </c>
      <c r="E26" s="21">
        <f t="shared" si="14"/>
        <v>2.3156774021825921E-2</v>
      </c>
      <c r="F26" s="8"/>
      <c r="G26" s="8"/>
      <c r="H26" s="8"/>
      <c r="I26" s="8"/>
      <c r="J26" s="1"/>
      <c r="K26" s="17">
        <v>75</v>
      </c>
      <c r="L26" s="7">
        <f>L25/H48</f>
        <v>8.3049572339986764</v>
      </c>
      <c r="M26" s="9">
        <f t="shared" si="15"/>
        <v>0.2669560313646257</v>
      </c>
      <c r="N26" s="21">
        <f>(N18+E26)/2</f>
        <v>3.2144178933488803E-2</v>
      </c>
      <c r="O26" s="475"/>
      <c r="P26" s="1"/>
      <c r="Q26" s="1"/>
      <c r="R26" s="1"/>
      <c r="S26" s="1"/>
      <c r="T26" s="18" t="s">
        <v>27</v>
      </c>
      <c r="U26" s="28">
        <v>1.4871277293470673</v>
      </c>
      <c r="V26" s="20">
        <v>-0.44287227065293266</v>
      </c>
      <c r="W26" s="22">
        <v>0.77053250225236647</v>
      </c>
      <c r="X26" s="1" t="s">
        <v>95</v>
      </c>
      <c r="Y26" s="1"/>
      <c r="Z26" s="1"/>
      <c r="AA26" s="1"/>
      <c r="AB26" s="18" t="s">
        <v>27</v>
      </c>
      <c r="AC26" s="7">
        <v>3.8596591</v>
      </c>
      <c r="AD26" s="20">
        <v>-0.25034090000000031</v>
      </c>
      <c r="AE26" s="22">
        <v>0.93908980535279796</v>
      </c>
      <c r="AF26" s="1"/>
      <c r="AG26" s="1"/>
      <c r="AH26" s="18" t="s">
        <v>27</v>
      </c>
      <c r="AI26" s="28">
        <v>1.7930434471194139</v>
      </c>
      <c r="AJ26" s="20">
        <v>-6.9565528805861643E-3</v>
      </c>
      <c r="AK26" s="22">
        <v>0.99613524839967438</v>
      </c>
      <c r="AL26" s="1"/>
      <c r="AM26" s="1"/>
      <c r="AN26" s="18" t="s">
        <v>27</v>
      </c>
      <c r="AO26" s="28">
        <v>1.7937000000000001</v>
      </c>
      <c r="AP26" s="20">
        <v>-0.19629999999999992</v>
      </c>
      <c r="AQ26" s="22">
        <v>0.90135678391959806</v>
      </c>
      <c r="AR26" s="1"/>
      <c r="AS26" s="1"/>
      <c r="AT26" s="18" t="s">
        <v>27</v>
      </c>
      <c r="AU26" s="28">
        <v>1.334169870460894</v>
      </c>
      <c r="AV26" s="20">
        <v>-0.73583012953910587</v>
      </c>
      <c r="AW26" s="22">
        <v>0.67043712083462004</v>
      </c>
      <c r="AX26" s="1"/>
      <c r="AY26" s="1"/>
      <c r="AZ26" s="1"/>
      <c r="BA26" s="1"/>
      <c r="BB26" s="1"/>
      <c r="BC26" s="1"/>
      <c r="BD26" s="1"/>
      <c r="BE26" s="1"/>
      <c r="BF26" s="1"/>
      <c r="BG26" s="1"/>
      <c r="BH26" s="1"/>
      <c r="BI26" s="1"/>
      <c r="BJ26" s="1"/>
      <c r="BK26" s="1"/>
      <c r="BL26" s="1"/>
      <c r="BM26" s="1"/>
      <c r="BN26" s="1"/>
      <c r="BO26" s="1"/>
      <c r="BP26" s="1"/>
      <c r="BQ26" s="1"/>
      <c r="BR26" s="1"/>
      <c r="BS26" s="1"/>
    </row>
    <row r="27" spans="1:71" x14ac:dyDescent="0.25">
      <c r="A27" s="1"/>
      <c r="B27" s="16">
        <v>100</v>
      </c>
      <c r="C27" s="7">
        <v>3.7320000000000002</v>
      </c>
      <c r="D27" s="6">
        <v>6.2E-2</v>
      </c>
      <c r="E27" s="21">
        <f t="shared" si="14"/>
        <v>1.6613076098606645E-2</v>
      </c>
      <c r="F27" s="8"/>
      <c r="G27" s="8"/>
      <c r="H27" s="8"/>
      <c r="I27" s="8"/>
      <c r="J27" s="1"/>
      <c r="K27" s="17">
        <v>100</v>
      </c>
      <c r="L27" s="7">
        <f>L26/H49</f>
        <v>8.3328954009190674</v>
      </c>
      <c r="M27" s="9">
        <f t="shared" si="15"/>
        <v>0.16714356956846307</v>
      </c>
      <c r="N27" s="21">
        <f>(N19+E27)/2</f>
        <v>2.0058282448862631E-2</v>
      </c>
      <c r="O27" s="475"/>
      <c r="P27" s="1"/>
      <c r="Q27" s="1"/>
      <c r="R27" s="1"/>
      <c r="S27" s="1"/>
      <c r="T27" s="18" t="s">
        <v>57</v>
      </c>
      <c r="U27" s="28">
        <v>3.3709335842012531</v>
      </c>
      <c r="V27" s="20">
        <v>1.4409335842012532</v>
      </c>
      <c r="W27" s="22">
        <v>1.7465977120213747</v>
      </c>
      <c r="X27" s="1"/>
      <c r="Y27" s="1"/>
      <c r="Z27" s="1"/>
      <c r="AA27" s="1"/>
      <c r="AB27" s="18" t="s">
        <v>57</v>
      </c>
      <c r="AC27" s="28">
        <v>7.524648899999999</v>
      </c>
      <c r="AD27" s="20">
        <v>3.4146488999999987</v>
      </c>
      <c r="AE27" s="22">
        <v>1.8308148175182477</v>
      </c>
      <c r="AF27" s="1"/>
      <c r="AG27" s="1"/>
      <c r="AH27" s="18" t="s">
        <v>57</v>
      </c>
      <c r="AI27" s="28">
        <v>3.7801562440862977</v>
      </c>
      <c r="AJ27" s="20">
        <v>1.9801562440862976</v>
      </c>
      <c r="AK27" s="22">
        <v>2.1000868022701655</v>
      </c>
      <c r="AL27" s="1"/>
      <c r="AM27" s="1"/>
      <c r="AN27" s="18" t="s">
        <v>57</v>
      </c>
      <c r="AO27" s="28">
        <v>3.553906169966663</v>
      </c>
      <c r="AP27" s="20">
        <v>1.563906169966663</v>
      </c>
      <c r="AQ27" s="22">
        <v>1.7858824974706848</v>
      </c>
      <c r="AR27" s="1"/>
      <c r="AS27" s="1"/>
      <c r="AT27" s="18" t="s">
        <v>57</v>
      </c>
      <c r="AU27" s="28">
        <v>3.1614917081740974</v>
      </c>
      <c r="AV27" s="20">
        <v>1.0914917081740976</v>
      </c>
      <c r="AW27" s="22">
        <v>1.5886893005899987</v>
      </c>
      <c r="AX27" s="1"/>
      <c r="AY27" s="1"/>
      <c r="AZ27" s="1"/>
      <c r="BA27" s="1"/>
      <c r="BB27" s="1"/>
      <c r="BC27" s="1"/>
      <c r="BD27" s="1"/>
      <c r="BE27" s="1"/>
      <c r="BF27" s="1"/>
      <c r="BG27" s="1"/>
      <c r="BH27" s="1"/>
      <c r="BI27" s="1"/>
      <c r="BJ27" s="1"/>
      <c r="BK27" s="1"/>
      <c r="BL27" s="1"/>
      <c r="BM27" s="1"/>
      <c r="BN27" s="1"/>
      <c r="BO27" s="1"/>
      <c r="BP27" s="1"/>
      <c r="BQ27" s="1"/>
      <c r="BR27" s="1"/>
      <c r="BS27" s="1"/>
    </row>
    <row r="28" spans="1:71" x14ac:dyDescent="0.25">
      <c r="A28" s="1"/>
      <c r="B28" s="8"/>
      <c r="C28" s="8"/>
      <c r="D28" s="8"/>
      <c r="E28" s="8"/>
      <c r="F28" s="8"/>
      <c r="G28" s="8"/>
      <c r="H28" s="8"/>
      <c r="I28" s="8"/>
      <c r="J28" s="8"/>
      <c r="K28" s="8"/>
      <c r="L28" s="8"/>
      <c r="M28" s="8"/>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x14ac:dyDescent="0.25">
      <c r="A29" s="1"/>
      <c r="B29" s="8" t="s">
        <v>7</v>
      </c>
      <c r="C29" s="8"/>
      <c r="D29" s="8"/>
      <c r="E29" s="8"/>
      <c r="F29" s="8"/>
      <c r="G29" s="8"/>
      <c r="H29" s="8"/>
      <c r="I29" s="8"/>
      <c r="J29" s="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x14ac:dyDescent="0.25">
      <c r="A30" s="1"/>
      <c r="B30" s="11" t="s">
        <v>0</v>
      </c>
      <c r="C30" s="11" t="s">
        <v>1</v>
      </c>
      <c r="D30" s="11" t="s">
        <v>2</v>
      </c>
      <c r="E30" s="11" t="s">
        <v>3</v>
      </c>
      <c r="F30" s="8"/>
      <c r="G30" s="8"/>
      <c r="H30" s="8"/>
      <c r="I30" s="8"/>
      <c r="J30" s="8"/>
      <c r="K30" s="1"/>
      <c r="L30" s="1"/>
      <c r="M30" s="1"/>
      <c r="N30" s="1"/>
      <c r="O30" s="1"/>
      <c r="P30" s="1"/>
      <c r="Q30" s="1"/>
      <c r="R30" s="1"/>
      <c r="S30" s="1"/>
      <c r="T30" s="1"/>
      <c r="U30" s="1"/>
      <c r="V30" s="1"/>
      <c r="W30" s="1"/>
      <c r="X30" s="1"/>
      <c r="Y30" s="1"/>
      <c r="Z30" s="1"/>
      <c r="AA30" s="1"/>
      <c r="AB30" s="1"/>
      <c r="AC30" s="1"/>
      <c r="AD30" s="1" t="s">
        <v>38</v>
      </c>
      <c r="AE30" s="1"/>
      <c r="AF30" s="1"/>
      <c r="AG30" s="1"/>
      <c r="AH30" s="1"/>
      <c r="AI30" s="1"/>
      <c r="AJ30" s="1" t="s">
        <v>49</v>
      </c>
      <c r="AK30" s="1"/>
      <c r="AL30" s="1"/>
      <c r="AM30" s="1"/>
      <c r="AN30" s="1"/>
      <c r="AO30" s="1"/>
      <c r="AP30" s="1" t="s">
        <v>50</v>
      </c>
      <c r="AQ30" s="1"/>
      <c r="AR30" s="1"/>
      <c r="AS30" s="1"/>
      <c r="AT30" s="1"/>
      <c r="AU30" s="1"/>
      <c r="AV30" s="1" t="s">
        <v>51</v>
      </c>
      <c r="AW30" s="1"/>
      <c r="AX30" s="1"/>
      <c r="AY30" s="1"/>
      <c r="AZ30" s="1"/>
      <c r="BA30" s="1"/>
      <c r="BB30" s="1"/>
      <c r="BC30" s="1"/>
      <c r="BD30" s="1"/>
      <c r="BE30" s="1"/>
      <c r="BF30" s="1"/>
      <c r="BG30" s="1"/>
      <c r="BH30" s="1"/>
      <c r="BI30" s="1"/>
      <c r="BJ30" s="1"/>
      <c r="BK30" s="1"/>
      <c r="BL30" s="1"/>
      <c r="BM30" s="1"/>
      <c r="BN30" s="1"/>
      <c r="BO30" s="1"/>
      <c r="BP30" s="1"/>
      <c r="BQ30" s="1"/>
      <c r="BR30" s="1"/>
      <c r="BS30" s="1"/>
    </row>
    <row r="31" spans="1:71" x14ac:dyDescent="0.25">
      <c r="A31" s="1"/>
      <c r="B31" s="16">
        <v>1</v>
      </c>
      <c r="C31" s="7">
        <f>C15+7.36*$K$44</f>
        <v>10.306999999999999</v>
      </c>
      <c r="D31" s="6">
        <f>C31*E31</f>
        <v>1.2865880721220526</v>
      </c>
      <c r="E31" s="21">
        <v>0.12482662968099861</v>
      </c>
      <c r="F31" s="8"/>
      <c r="G31" s="8"/>
      <c r="H31" s="8"/>
      <c r="I31" s="8"/>
      <c r="J31" s="8"/>
      <c r="K31" s="1"/>
      <c r="L31" s="1"/>
      <c r="M31" s="1"/>
      <c r="N31" s="1"/>
      <c r="O31" s="1"/>
      <c r="P31" s="1"/>
      <c r="Q31" s="1"/>
      <c r="R31" s="1"/>
      <c r="S31" s="1"/>
      <c r="T31" s="1"/>
      <c r="U31" s="1"/>
      <c r="V31" s="1"/>
      <c r="W31" s="1"/>
      <c r="X31" s="1"/>
      <c r="Y31" s="1"/>
      <c r="Z31" s="1"/>
      <c r="AA31" s="1"/>
      <c r="AB31" s="1"/>
      <c r="AC31" s="1"/>
      <c r="AD31" s="1">
        <f>AC4/1.2</f>
        <v>3.4275000000000007</v>
      </c>
      <c r="AE31" s="1"/>
      <c r="AF31" s="1"/>
      <c r="AG31" s="1"/>
      <c r="AH31" s="1"/>
      <c r="AI31" s="1"/>
      <c r="AJ31" s="1">
        <f>AI4/1.2</f>
        <v>1.4991666666666668</v>
      </c>
      <c r="AK31" s="1"/>
      <c r="AL31" s="1"/>
      <c r="AM31" s="1"/>
      <c r="AN31" s="1"/>
      <c r="AO31" s="1"/>
      <c r="AP31" s="1">
        <f>AO4/1.2</f>
        <v>1.6608333333333334</v>
      </c>
      <c r="AQ31" s="1"/>
      <c r="AR31" s="1"/>
      <c r="AS31" s="1"/>
      <c r="AT31" s="1"/>
      <c r="AU31" s="1"/>
      <c r="AV31" s="1">
        <f>AU4/1.2</f>
        <v>1.7216666666666667</v>
      </c>
      <c r="AW31" s="1"/>
      <c r="AX31" s="1"/>
      <c r="AY31" s="1"/>
      <c r="AZ31" s="1"/>
      <c r="BA31" s="1"/>
      <c r="BB31" s="1"/>
      <c r="BC31" s="1"/>
      <c r="BD31" s="1"/>
      <c r="BE31" s="1"/>
      <c r="BF31" s="1"/>
      <c r="BG31" s="1"/>
      <c r="BH31" s="1"/>
      <c r="BI31" s="1"/>
      <c r="BJ31" s="1"/>
      <c r="BK31" s="1"/>
      <c r="BL31" s="1"/>
      <c r="BM31" s="1"/>
      <c r="BN31" s="1"/>
      <c r="BO31" s="1"/>
      <c r="BP31" s="1"/>
      <c r="BQ31" s="1"/>
      <c r="BR31" s="1"/>
      <c r="BS31" s="1"/>
    </row>
    <row r="32" spans="1:71" x14ac:dyDescent="0.25">
      <c r="A32" s="1"/>
      <c r="B32" s="16">
        <v>25</v>
      </c>
      <c r="C32" s="7">
        <f>C31/B46</f>
        <v>5.636685298196948</v>
      </c>
      <c r="D32" s="6">
        <f t="shared" ref="D32:D35" si="16">C32*E32</f>
        <v>0.5189238557558945</v>
      </c>
      <c r="E32" s="21">
        <v>9.2061881815876226E-2</v>
      </c>
      <c r="F32" s="8"/>
      <c r="G32" s="8"/>
      <c r="H32" s="8"/>
      <c r="I32" s="8"/>
      <c r="J32" s="8"/>
      <c r="K32" s="1"/>
      <c r="L32" s="1"/>
      <c r="M32" s="1"/>
      <c r="N32" s="1"/>
      <c r="O32" s="1"/>
      <c r="P32" s="1"/>
      <c r="Q32" s="1"/>
      <c r="R32" s="1"/>
      <c r="S32" s="1"/>
      <c r="T32" s="1"/>
      <c r="U32" s="1"/>
      <c r="V32" s="1" t="s">
        <v>37</v>
      </c>
      <c r="W32" s="1"/>
      <c r="X32" s="1"/>
      <c r="Y32" s="1"/>
      <c r="Z32" s="1"/>
      <c r="AA32" s="1"/>
      <c r="AB32" s="1"/>
      <c r="AC32" s="1">
        <f>AC5/AC4</f>
        <v>1.7529783612934595</v>
      </c>
      <c r="AD32" s="1">
        <f>AC5/AC7</f>
        <v>0.81545035253242015</v>
      </c>
      <c r="AE32" s="1"/>
      <c r="AF32" s="1"/>
      <c r="AG32" s="1"/>
      <c r="AH32" s="1"/>
      <c r="AI32" s="1">
        <f>AI5/AI4</f>
        <v>2.1917732073374099</v>
      </c>
      <c r="AJ32" s="1">
        <f>AI5/AI7</f>
        <v>0.64520668540815085</v>
      </c>
      <c r="AK32" s="1"/>
      <c r="AL32" s="1"/>
      <c r="AM32" s="1"/>
      <c r="AN32" s="1"/>
      <c r="AO32" s="1">
        <f>AO5/AO4</f>
        <v>1.88509784244857</v>
      </c>
      <c r="AP32" s="1">
        <f>AO5/AO7</f>
        <v>0.59257366556574465</v>
      </c>
      <c r="AQ32" s="1"/>
      <c r="AR32" s="1"/>
      <c r="AS32" s="1"/>
      <c r="AT32" s="1"/>
      <c r="AU32" s="1">
        <f>AU5/AU4</f>
        <v>1.8063891577928366</v>
      </c>
      <c r="AV32" s="1">
        <f>AU5/AU7</f>
        <v>0.5807403349994088</v>
      </c>
      <c r="AW32" s="1"/>
      <c r="AX32" s="1"/>
      <c r="AY32" s="1"/>
      <c r="AZ32" s="1"/>
      <c r="BA32" s="1"/>
      <c r="BB32" s="1"/>
      <c r="BC32" s="1"/>
      <c r="BD32" s="1"/>
      <c r="BE32" s="1"/>
      <c r="BF32" s="1"/>
      <c r="BG32" s="1"/>
      <c r="BH32" s="1"/>
      <c r="BI32" s="1"/>
      <c r="BJ32" s="1"/>
      <c r="BK32" s="1"/>
      <c r="BL32" s="1"/>
      <c r="BM32" s="1"/>
      <c r="BN32" s="1"/>
      <c r="BO32" s="1"/>
      <c r="BP32" s="1"/>
      <c r="BQ32" s="1"/>
      <c r="BR32" s="1"/>
      <c r="BS32" s="1"/>
    </row>
    <row r="33" spans="1:72" x14ac:dyDescent="0.25">
      <c r="A33" s="1"/>
      <c r="B33" s="16">
        <v>50</v>
      </c>
      <c r="C33" s="7">
        <f>C32/B47</f>
        <v>5.4351198335644924</v>
      </c>
      <c r="D33" s="6">
        <f t="shared" si="16"/>
        <v>0.21443134535367536</v>
      </c>
      <c r="E33" s="21">
        <v>3.9452919516044183E-2</v>
      </c>
      <c r="F33" s="8"/>
      <c r="G33" s="8"/>
      <c r="H33" s="8"/>
      <c r="I33" s="8"/>
      <c r="J33" s="8"/>
      <c r="K33" s="1"/>
      <c r="L33" s="1"/>
      <c r="M33" s="1"/>
      <c r="N33" s="1"/>
      <c r="O33" s="1"/>
      <c r="P33" s="1"/>
      <c r="Q33" s="1"/>
      <c r="R33" s="1"/>
      <c r="S33" s="1"/>
      <c r="T33" s="1"/>
      <c r="V33" s="1">
        <f>U4/1.2</f>
        <v>1.6075000000000002</v>
      </c>
      <c r="W33" s="1" t="s">
        <v>94</v>
      </c>
      <c r="X33" s="1"/>
      <c r="Y33" s="1"/>
      <c r="Z33" s="1"/>
      <c r="AA33" s="1"/>
      <c r="AB33" s="1"/>
      <c r="AC33" s="1">
        <f>AC6/AC4</f>
        <v>2.505956722586919</v>
      </c>
      <c r="AD33" s="1">
        <f>AC6/AC7</f>
        <v>1.1657207744177049</v>
      </c>
      <c r="AE33" s="1"/>
      <c r="AF33" s="1"/>
      <c r="AG33" s="1"/>
      <c r="AH33" s="1"/>
      <c r="AI33" s="1">
        <f>AI6/AI4</f>
        <v>3.1332325170633397</v>
      </c>
      <c r="AJ33" s="1">
        <f>AI6/AI7</f>
        <v>0.92235025055503606</v>
      </c>
      <c r="AK33" s="1"/>
      <c r="AL33" s="1"/>
      <c r="AM33" s="1"/>
      <c r="AN33" s="1"/>
      <c r="AO33" s="1">
        <f>AO6/AO4</f>
        <v>2.6948271098637178</v>
      </c>
      <c r="AP33" s="1">
        <f>AO6/AO7</f>
        <v>0.84710912218947698</v>
      </c>
      <c r="AQ33" s="1"/>
      <c r="AR33" s="1"/>
      <c r="AS33" s="1"/>
      <c r="AT33" s="1"/>
      <c r="AU33" s="1">
        <f>AU6/AU4</f>
        <v>2.5823097155854038</v>
      </c>
      <c r="AV33" s="1">
        <f>AU6/AU7</f>
        <v>0.83019287556711574</v>
      </c>
      <c r="AW33" s="1"/>
      <c r="AX33" s="1"/>
      <c r="AY33" s="1"/>
      <c r="AZ33" s="1"/>
      <c r="BA33" s="1"/>
      <c r="BB33" s="1"/>
      <c r="BC33" s="1"/>
      <c r="BD33" s="1"/>
      <c r="BE33" s="1"/>
      <c r="BF33" s="1"/>
      <c r="BG33" s="1"/>
      <c r="BH33" s="1"/>
      <c r="BI33" s="1"/>
      <c r="BJ33" s="1"/>
      <c r="BK33" s="1"/>
      <c r="BL33" s="1"/>
      <c r="BM33" s="1"/>
      <c r="BN33" s="1"/>
      <c r="BO33" s="1"/>
      <c r="BP33" s="1"/>
      <c r="BQ33" s="1"/>
      <c r="BR33" s="1"/>
      <c r="BS33" s="1"/>
    </row>
    <row r="34" spans="1:72" x14ac:dyDescent="0.25">
      <c r="A34" s="1"/>
      <c r="B34" s="16">
        <v>75</v>
      </c>
      <c r="C34" s="7">
        <f>C33/B48</f>
        <v>5.3707904299583902</v>
      </c>
      <c r="D34" s="6">
        <f t="shared" si="16"/>
        <v>0.12437018030513172</v>
      </c>
      <c r="E34" s="21">
        <v>2.3156774021825921E-2</v>
      </c>
      <c r="F34" s="8"/>
      <c r="G34" s="8"/>
      <c r="H34" s="8"/>
      <c r="I34" s="8"/>
      <c r="J34" s="8"/>
      <c r="K34" s="1"/>
      <c r="L34" s="1"/>
      <c r="M34" s="1"/>
      <c r="N34" s="1"/>
      <c r="O34" s="1"/>
      <c r="P34" s="1"/>
      <c r="Q34" s="1"/>
      <c r="R34" s="1"/>
      <c r="S34" s="1"/>
      <c r="T34" s="1"/>
      <c r="U34" s="1">
        <f>U5/U4</f>
        <v>1.9709694142042509</v>
      </c>
      <c r="V34" s="1">
        <f>U5/U7</f>
        <v>0.71614239969862492</v>
      </c>
      <c r="W34" s="1" t="s">
        <v>96</v>
      </c>
      <c r="X34" s="1"/>
      <c r="Y34" s="1"/>
      <c r="Z34" s="1"/>
      <c r="AA34" s="1"/>
      <c r="AB34" s="1"/>
      <c r="AC34" s="1">
        <f>AC7/AC4</f>
        <v>2.149705810843666</v>
      </c>
      <c r="AD34" s="1">
        <f>AC8/AC7</f>
        <v>1.5479984708892141</v>
      </c>
      <c r="AE34" s="1"/>
      <c r="AF34" s="1"/>
      <c r="AG34" s="1"/>
      <c r="AH34" s="1"/>
      <c r="AI34" s="1">
        <f>AI7/AI4</f>
        <v>3.3970094496942749</v>
      </c>
      <c r="AJ34" s="1">
        <f>AI8/AI7</f>
        <v>1.3675749152279133</v>
      </c>
      <c r="AK34" s="1"/>
      <c r="AL34" s="1"/>
      <c r="AM34" s="1"/>
      <c r="AN34" s="1"/>
      <c r="AO34" s="1">
        <f>AO7/AO4</f>
        <v>3.1812042147516304</v>
      </c>
      <c r="AP34" s="1">
        <f>AO8/AO7</f>
        <v>1.3099012378273471</v>
      </c>
      <c r="AQ34" s="1"/>
      <c r="AR34" s="1"/>
      <c r="AS34" s="1"/>
      <c r="AT34" s="1"/>
      <c r="AU34" s="1">
        <f>AU7/AU4</f>
        <v>3.110493707647628</v>
      </c>
      <c r="AV34" s="1">
        <f>AU8/AU7</f>
        <v>1.296690371555405</v>
      </c>
      <c r="AW34" s="1"/>
      <c r="AX34" s="1"/>
      <c r="AY34" s="1"/>
      <c r="AZ34" s="1"/>
      <c r="BA34" s="1"/>
      <c r="BB34" s="1"/>
      <c r="BC34" s="1"/>
      <c r="BD34" s="1"/>
      <c r="BE34" s="1"/>
      <c r="BF34" s="1"/>
      <c r="BG34" s="1"/>
      <c r="BH34" s="1"/>
      <c r="BI34" s="1"/>
      <c r="BJ34" s="1"/>
      <c r="BK34" s="1"/>
      <c r="BL34" s="1"/>
      <c r="BM34" s="1"/>
      <c r="BN34" s="1"/>
      <c r="BO34" s="1"/>
      <c r="BP34" s="1"/>
      <c r="BQ34" s="1"/>
      <c r="BR34" s="1"/>
      <c r="BS34" s="1"/>
    </row>
    <row r="35" spans="1:72" x14ac:dyDescent="0.25">
      <c r="A35" s="1"/>
      <c r="B35" s="16">
        <v>100</v>
      </c>
      <c r="C35" s="7">
        <f>C34/B49</f>
        <v>5.3350518723994442</v>
      </c>
      <c r="D35" s="6">
        <f t="shared" si="16"/>
        <v>8.8631622746185829E-2</v>
      </c>
      <c r="E35" s="21">
        <v>1.6613076098606645E-2</v>
      </c>
      <c r="F35" s="8"/>
      <c r="G35" s="8"/>
      <c r="H35" s="8"/>
      <c r="I35" s="8"/>
      <c r="J35" s="8"/>
      <c r="K35" s="1"/>
      <c r="L35" s="1"/>
      <c r="M35" s="1"/>
      <c r="N35" s="1"/>
      <c r="O35" s="1"/>
      <c r="P35" s="1"/>
      <c r="Q35" s="1"/>
      <c r="R35" s="1"/>
      <c r="S35" s="1"/>
      <c r="T35" s="1"/>
      <c r="U35" s="1">
        <f>U6/U4</f>
        <v>2.8175841542584199</v>
      </c>
      <c r="V35" s="1">
        <f>U6/U7</f>
        <v>1.023755854881238</v>
      </c>
      <c r="W35" s="1" t="s">
        <v>97</v>
      </c>
      <c r="X35" s="1"/>
      <c r="Y35" s="1"/>
      <c r="Z35" s="1"/>
      <c r="AA35" s="1"/>
      <c r="AB35" s="1"/>
      <c r="AC35" s="1">
        <f>AC8/AC4</f>
        <v>3.3277413080476532</v>
      </c>
      <c r="AD35" s="1"/>
      <c r="AE35" s="1"/>
      <c r="AF35" s="1"/>
      <c r="AG35" s="1"/>
      <c r="AH35" s="1"/>
      <c r="AI35" s="1">
        <f>AI8/AI4</f>
        <v>4.6456649101940686</v>
      </c>
      <c r="AJ35" s="1"/>
      <c r="AK35" s="1"/>
      <c r="AL35" s="1"/>
      <c r="AM35" s="1"/>
      <c r="AN35" s="1"/>
      <c r="AO35" s="1">
        <f>AO8/AO4</f>
        <v>4.1670633386847342</v>
      </c>
      <c r="AP35" s="1"/>
      <c r="AQ35" s="1"/>
      <c r="AR35" s="1"/>
      <c r="AS35" s="1"/>
      <c r="AT35" s="1"/>
      <c r="AU35" s="1">
        <f>AU8/AU4</f>
        <v>4.0333472414903522</v>
      </c>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2" x14ac:dyDescent="0.25">
      <c r="A36" s="1"/>
      <c r="B36" s="1"/>
      <c r="C36" s="1"/>
      <c r="D36" s="1"/>
      <c r="E36" s="1"/>
      <c r="F36" s="1"/>
      <c r="G36" s="1"/>
      <c r="H36" s="1"/>
      <c r="I36" s="1"/>
      <c r="J36" s="1"/>
      <c r="K36" s="1"/>
      <c r="L36" s="1"/>
      <c r="M36" s="1"/>
      <c r="N36" s="1"/>
      <c r="O36" s="1"/>
      <c r="P36" s="1"/>
      <c r="Q36" s="1"/>
      <c r="R36" s="1"/>
      <c r="S36" s="1"/>
      <c r="T36" s="1"/>
      <c r="U36" s="1">
        <f>U7/U4</f>
        <v>2.7522032141005703</v>
      </c>
      <c r="V36" s="1">
        <f>U8/U7</f>
        <v>1.5643684807773133</v>
      </c>
      <c r="W36" s="1" t="s">
        <v>98</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x14ac:dyDescent="0.25">
      <c r="A37" s="1"/>
      <c r="B37" s="1"/>
      <c r="C37" s="1"/>
      <c r="D37" s="1"/>
      <c r="E37" s="1"/>
      <c r="F37" s="1"/>
      <c r="G37" s="1"/>
      <c r="H37" s="1"/>
      <c r="I37" s="1"/>
      <c r="J37" s="1"/>
      <c r="K37" s="1"/>
      <c r="L37" s="1"/>
      <c r="M37" s="1"/>
      <c r="N37" s="1"/>
      <c r="O37" s="1"/>
      <c r="P37" s="1"/>
      <c r="Q37" s="1"/>
      <c r="R37" s="1"/>
      <c r="S37" s="1"/>
      <c r="T37" s="1"/>
      <c r="U37" s="1">
        <f>U8/U4</f>
        <v>4.3054599608329474</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x14ac:dyDescent="0.25">
      <c r="A40" s="1"/>
      <c r="B40" s="1"/>
      <c r="C40" s="26"/>
      <c r="D40" s="26"/>
      <c r="E40" s="26"/>
      <c r="F40" s="26"/>
      <c r="G40" s="26"/>
      <c r="H40" s="26"/>
      <c r="I40" s="26"/>
      <c r="J40" s="26"/>
      <c r="K40" s="26"/>
      <c r="L40" s="26"/>
      <c r="M40" s="26"/>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x14ac:dyDescent="0.25">
      <c r="B41" s="26"/>
      <c r="C41" s="26"/>
      <c r="D41" s="26"/>
      <c r="E41" s="26"/>
      <c r="F41" s="26"/>
      <c r="G41" s="26"/>
      <c r="H41" s="26"/>
      <c r="I41" s="26"/>
      <c r="J41" s="26"/>
      <c r="K41" s="26"/>
      <c r="L41" s="26"/>
      <c r="M41" s="26"/>
      <c r="R41" s="1"/>
      <c r="S41" s="1"/>
      <c r="T41" s="1"/>
      <c r="Y41" s="1"/>
      <c r="Z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x14ac:dyDescent="0.25">
      <c r="B42" s="26"/>
      <c r="C42" s="26"/>
      <c r="D42" s="26"/>
      <c r="E42" s="26"/>
      <c r="F42" s="26"/>
      <c r="G42" s="26"/>
      <c r="H42" s="26"/>
      <c r="I42" s="26"/>
      <c r="J42" s="26"/>
      <c r="K42" s="26"/>
      <c r="L42" s="26"/>
      <c r="M42" s="26"/>
      <c r="R42" s="1"/>
      <c r="S42" s="1"/>
      <c r="T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x14ac:dyDescent="0.25">
      <c r="B43" s="26"/>
      <c r="C43" s="26"/>
      <c r="D43" s="26"/>
      <c r="E43" s="26"/>
      <c r="F43" s="26"/>
      <c r="G43" s="26"/>
      <c r="H43" s="26"/>
      <c r="I43" s="26"/>
      <c r="J43" s="26"/>
      <c r="K43" s="26"/>
      <c r="L43" s="26"/>
      <c r="M43" s="26"/>
      <c r="R43" s="1"/>
      <c r="S43" s="1"/>
      <c r="T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x14ac:dyDescent="0.25">
      <c r="B44" s="26" t="s">
        <v>9</v>
      </c>
      <c r="C44" s="26"/>
      <c r="D44" s="26"/>
      <c r="E44" s="26"/>
      <c r="F44" s="26" t="s">
        <v>10</v>
      </c>
      <c r="G44" s="26"/>
      <c r="H44" s="26" t="s">
        <v>11</v>
      </c>
      <c r="I44" s="26"/>
      <c r="J44" s="26"/>
      <c r="K44" s="26">
        <f>B45/3.68</f>
        <v>0.84157608695652153</v>
      </c>
      <c r="L44" s="26" t="s">
        <v>19</v>
      </c>
      <c r="M44" s="26"/>
      <c r="R44" s="1"/>
      <c r="S44" s="1"/>
      <c r="T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x14ac:dyDescent="0.25">
      <c r="A45" s="1"/>
      <c r="B45" s="27">
        <f>C23-C15</f>
        <v>3.0969999999999995</v>
      </c>
      <c r="C45" s="26" t="s">
        <v>88</v>
      </c>
      <c r="D45" s="26"/>
      <c r="E45" s="26"/>
      <c r="F45" s="26"/>
      <c r="G45" s="26"/>
      <c r="H45" s="26"/>
      <c r="I45" s="26"/>
      <c r="J45" s="26"/>
      <c r="K45" s="26"/>
      <c r="L45" s="26" t="s">
        <v>19</v>
      </c>
      <c r="M45" s="26"/>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row>
    <row r="46" spans="1:72" x14ac:dyDescent="0.25">
      <c r="A46" s="1"/>
      <c r="B46" s="26">
        <f>C23/C24</f>
        <v>1.8285569363428862</v>
      </c>
      <c r="C46" s="59" t="s">
        <v>89</v>
      </c>
      <c r="D46" s="26"/>
      <c r="E46" s="26"/>
      <c r="F46" s="26">
        <f>L15/L16</f>
        <v>1.4468044023942845</v>
      </c>
      <c r="G46" s="26"/>
      <c r="H46" s="26">
        <f>(F46+B46)/2</f>
        <v>1.6376806693685855</v>
      </c>
      <c r="I46" s="59" t="s">
        <v>89</v>
      </c>
      <c r="J46" s="26"/>
      <c r="K46" s="26"/>
      <c r="L46" s="26"/>
      <c r="M46" s="26"/>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x14ac:dyDescent="0.25">
      <c r="A47" s="1"/>
      <c r="B47" s="26">
        <f>C24/C25</f>
        <v>1.0370857443450816</v>
      </c>
      <c r="C47" s="59" t="s">
        <v>90</v>
      </c>
      <c r="D47" s="26"/>
      <c r="E47" s="26"/>
      <c r="F47" s="26">
        <f>L16/L17</f>
        <v>0.97551327933697496</v>
      </c>
      <c r="G47" s="26"/>
      <c r="H47" s="26">
        <f t="shared" ref="H47:H49" si="17">(F47+B47)/2</f>
        <v>1.0062995118410283</v>
      </c>
      <c r="I47" s="59" t="s">
        <v>90</v>
      </c>
      <c r="J47" s="26"/>
      <c r="K47" s="26"/>
      <c r="L47" s="26"/>
      <c r="M47" s="26"/>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x14ac:dyDescent="0.25">
      <c r="A48" s="1"/>
      <c r="B48" s="26">
        <f>C25/C26</f>
        <v>1.0119776417354271</v>
      </c>
      <c r="C48" s="59" t="s">
        <v>91</v>
      </c>
      <c r="D48" s="26"/>
      <c r="E48" s="26"/>
      <c r="F48" s="26">
        <f>L17/L18</f>
        <v>0.98808859110366642</v>
      </c>
      <c r="G48" s="26"/>
      <c r="H48" s="26">
        <f t="shared" si="17"/>
        <v>1.0000331164195468</v>
      </c>
      <c r="I48" s="59" t="s">
        <v>91</v>
      </c>
      <c r="J48" s="26"/>
      <c r="K48" s="26"/>
      <c r="L48" s="26"/>
      <c r="M48" s="26"/>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x14ac:dyDescent="0.25">
      <c r="A49" s="1"/>
      <c r="B49" s="26">
        <f>C26/C27</f>
        <v>1.0066988210075027</v>
      </c>
      <c r="C49" s="59" t="s">
        <v>92</v>
      </c>
      <c r="D49" s="26"/>
      <c r="E49" s="26"/>
      <c r="F49" s="26">
        <f>L18/L19</f>
        <v>0.98659566654425279</v>
      </c>
      <c r="G49" s="26"/>
      <c r="H49" s="26">
        <f t="shared" si="17"/>
        <v>0.99664724377587777</v>
      </c>
      <c r="I49" s="59" t="s">
        <v>92</v>
      </c>
      <c r="J49" s="26"/>
      <c r="K49" s="26"/>
      <c r="L49" s="26"/>
      <c r="M49" s="26"/>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x14ac:dyDescent="0.25">
      <c r="A50" s="1"/>
      <c r="B50" s="26"/>
      <c r="C50" s="26"/>
      <c r="D50" s="26"/>
      <c r="E50" s="26"/>
      <c r="F50" s="26"/>
      <c r="G50" s="26"/>
      <c r="H50" s="26"/>
      <c r="I50" s="26"/>
      <c r="J50" s="26"/>
      <c r="K50" s="26"/>
      <c r="L50" s="26"/>
      <c r="M50" s="26"/>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x14ac:dyDescent="0.25">
      <c r="A51" s="1"/>
      <c r="B51" s="26"/>
      <c r="C51" s="26"/>
      <c r="D51" s="26"/>
      <c r="E51" s="26"/>
      <c r="F51" s="26"/>
      <c r="G51" s="23"/>
      <c r="H51" s="23"/>
      <c r="I51" s="23"/>
      <c r="J51" s="23"/>
      <c r="K51" s="23"/>
      <c r="L51" s="23"/>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7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x14ac:dyDescent="0.25">
      <c r="BN57" s="1"/>
      <c r="BO57" s="1"/>
      <c r="BP57" s="1"/>
      <c r="BQ57" s="1"/>
      <c r="BR57" s="1"/>
      <c r="BS57" s="1"/>
      <c r="BT57" s="1"/>
    </row>
  </sheetData>
  <mergeCells count="3">
    <mergeCell ref="X3:X8"/>
    <mergeCell ref="K21:N21"/>
    <mergeCell ref="O22:O27"/>
  </mergeCells>
  <pageMargins left="0.7" right="0.7" top="0.75" bottom="0.75" header="0.3" footer="0.3"/>
  <pageSetup paperSize="9" orientation="portrait" r:id="rId1"/>
  <headerFooter>
    <oddFooter>&amp;C&amp;1#&amp;"Calibri"&amp;12&amp;K008000Internal Use</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9AA2-EA9A-4C74-8CC4-8CCB03CB11B0}">
  <sheetPr>
    <tabColor rgb="FFFF0000"/>
  </sheetPr>
  <dimension ref="A1:BT57"/>
  <sheetViews>
    <sheetView topLeftCell="N1" zoomScaleNormal="100" workbookViewId="0">
      <selection activeCell="BJ24" sqref="BJ24"/>
    </sheetView>
  </sheetViews>
  <sheetFormatPr defaultRowHeight="15" x14ac:dyDescent="0.25"/>
  <cols>
    <col min="1" max="1" width="9.140625" customWidth="1"/>
    <col min="2" max="2" width="32.85546875" customWidth="1"/>
    <col min="3" max="10" width="9.140625" customWidth="1"/>
    <col min="11" max="11" width="31.85546875" customWidth="1"/>
    <col min="12" max="19" width="9.140625" customWidth="1"/>
    <col min="20" max="20" width="66.28515625" customWidth="1"/>
    <col min="21" max="21" width="9.140625" customWidth="1"/>
    <col min="22" max="22" width="19.7109375" customWidth="1"/>
    <col min="23" max="23" width="9.140625" customWidth="1"/>
    <col min="24" max="24" width="16.5703125" customWidth="1"/>
    <col min="25" max="27" width="9.140625" customWidth="1"/>
    <col min="28" max="28" width="63.140625" customWidth="1"/>
    <col min="29" max="29" width="9.140625" customWidth="1"/>
    <col min="30" max="30" width="19.7109375" customWidth="1"/>
    <col min="31" max="33" width="9.140625" customWidth="1"/>
    <col min="34" max="34" width="65.28515625" customWidth="1"/>
    <col min="35" max="35" width="9.140625" customWidth="1"/>
    <col min="36" max="36" width="21.28515625" customWidth="1"/>
    <col min="37" max="39" width="9.140625" customWidth="1"/>
    <col min="40" max="40" width="65.28515625" customWidth="1"/>
    <col min="41" max="41" width="9.140625" customWidth="1"/>
    <col min="42" max="42" width="24.28515625" customWidth="1"/>
    <col min="43" max="45" width="9.140625" customWidth="1"/>
    <col min="46" max="46" width="65.28515625" customWidth="1"/>
    <col min="47" max="47" width="9.140625" customWidth="1"/>
    <col min="48" max="48" width="19.140625" customWidth="1"/>
    <col min="49" max="51" width="9.140625" customWidth="1"/>
    <col min="52" max="52" width="40.5703125" customWidth="1"/>
    <col min="53" max="53" width="31.140625" customWidth="1"/>
    <col min="54" max="54" width="10" bestFit="1" customWidth="1"/>
  </cols>
  <sheetData>
    <row r="1" spans="1:7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x14ac:dyDescent="0.25">
      <c r="A2" s="1"/>
      <c r="B2" s="2" t="s">
        <v>4</v>
      </c>
      <c r="C2" s="2"/>
      <c r="D2" s="2"/>
      <c r="E2" s="3"/>
      <c r="F2" s="3"/>
      <c r="G2" s="3"/>
      <c r="H2" s="3"/>
      <c r="I2" s="3"/>
      <c r="J2" s="3"/>
      <c r="K2" s="2" t="s">
        <v>204</v>
      </c>
      <c r="L2" s="2"/>
      <c r="M2" s="2"/>
      <c r="N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x14ac:dyDescent="0.25">
      <c r="A3" s="1"/>
      <c r="B3" s="5" t="s">
        <v>0</v>
      </c>
      <c r="C3" s="5" t="s">
        <v>1</v>
      </c>
      <c r="D3" s="5" t="s">
        <v>2</v>
      </c>
      <c r="E3" s="5" t="s">
        <v>3</v>
      </c>
      <c r="F3" s="4"/>
      <c r="G3" s="4"/>
      <c r="H3" s="4"/>
      <c r="I3" s="4"/>
      <c r="J3" s="4"/>
      <c r="K3" s="14" t="s">
        <v>0</v>
      </c>
      <c r="L3" s="14" t="s">
        <v>1</v>
      </c>
      <c r="M3" s="14" t="s">
        <v>2</v>
      </c>
      <c r="N3" s="14" t="s">
        <v>3</v>
      </c>
      <c r="O3" s="1"/>
      <c r="P3" s="1"/>
      <c r="Q3" s="1"/>
      <c r="R3" s="1"/>
      <c r="S3" s="1"/>
      <c r="T3" s="19" t="s">
        <v>22</v>
      </c>
      <c r="U3" s="19" t="s">
        <v>8</v>
      </c>
      <c r="V3" s="19" t="s">
        <v>12</v>
      </c>
      <c r="W3" s="19" t="s">
        <v>13</v>
      </c>
      <c r="X3" s="475" t="s">
        <v>93</v>
      </c>
      <c r="Y3" s="1"/>
      <c r="Z3" s="1"/>
      <c r="AA3" s="1"/>
      <c r="AB3" s="19" t="s">
        <v>30</v>
      </c>
      <c r="AC3" s="19" t="s">
        <v>8</v>
      </c>
      <c r="AD3" s="19" t="s">
        <v>12</v>
      </c>
      <c r="AE3" s="19" t="s">
        <v>13</v>
      </c>
      <c r="AF3" s="1"/>
      <c r="AG3" s="1"/>
      <c r="AH3" s="19" t="s">
        <v>40</v>
      </c>
      <c r="AI3" s="19" t="s">
        <v>8</v>
      </c>
      <c r="AJ3" s="19" t="s">
        <v>12</v>
      </c>
      <c r="AK3" s="19" t="s">
        <v>13</v>
      </c>
      <c r="AL3" s="1"/>
      <c r="AM3" s="1"/>
      <c r="AN3" s="19" t="s">
        <v>41</v>
      </c>
      <c r="AO3" s="19" t="s">
        <v>8</v>
      </c>
      <c r="AP3" s="19" t="s">
        <v>12</v>
      </c>
      <c r="AQ3" s="19" t="s">
        <v>13</v>
      </c>
      <c r="AR3" s="1"/>
      <c r="AS3" s="1"/>
      <c r="AT3" s="19" t="s">
        <v>42</v>
      </c>
      <c r="AU3" s="19" t="s">
        <v>8</v>
      </c>
      <c r="AV3" s="19" t="s">
        <v>12</v>
      </c>
      <c r="AW3" s="19" t="s">
        <v>13</v>
      </c>
      <c r="AX3" s="1"/>
      <c r="AY3" s="1"/>
      <c r="AZ3" s="106" t="s">
        <v>52</v>
      </c>
      <c r="BA3" s="106" t="s">
        <v>54</v>
      </c>
      <c r="BB3" s="106" t="s">
        <v>60</v>
      </c>
      <c r="BC3" s="1"/>
      <c r="BD3" s="1"/>
      <c r="BE3" s="1"/>
      <c r="BF3" s="1"/>
      <c r="BG3" s="1"/>
      <c r="BH3" s="1"/>
      <c r="BI3" s="1"/>
      <c r="BJ3" s="1"/>
      <c r="BK3" s="1"/>
      <c r="BL3" s="1"/>
      <c r="BM3" s="1"/>
      <c r="BN3" s="1"/>
      <c r="BO3" s="1"/>
      <c r="BP3" s="1"/>
      <c r="BQ3" s="1"/>
      <c r="BR3" s="1"/>
      <c r="BS3" s="1"/>
    </row>
    <row r="4" spans="1:71" x14ac:dyDescent="0.25">
      <c r="A4" s="1"/>
      <c r="B4" s="16">
        <v>1</v>
      </c>
      <c r="C4" s="7">
        <v>3.5870000000000002</v>
      </c>
      <c r="D4" s="6">
        <v>0.54900000000000004</v>
      </c>
      <c r="E4" s="21">
        <f>D4/C4</f>
        <v>0.15305269027042098</v>
      </c>
      <c r="F4" s="8"/>
      <c r="G4" s="8"/>
      <c r="H4" s="8"/>
      <c r="I4" s="8"/>
      <c r="J4" s="8"/>
      <c r="K4" s="17">
        <v>1</v>
      </c>
      <c r="L4" s="7">
        <v>2.8439999999999999</v>
      </c>
      <c r="M4" s="9">
        <v>0.54900000000000004</v>
      </c>
      <c r="N4" s="21">
        <f>M4/L4</f>
        <v>0.19303797468354433</v>
      </c>
      <c r="O4" s="1"/>
      <c r="P4" s="1"/>
      <c r="Q4" s="1"/>
      <c r="R4" s="1"/>
      <c r="S4" s="1"/>
      <c r="T4" s="18" t="s">
        <v>21</v>
      </c>
      <c r="U4" s="7">
        <f>C17</f>
        <v>1.929</v>
      </c>
      <c r="V4" s="20">
        <f>U4-$U$4</f>
        <v>0</v>
      </c>
      <c r="W4" s="22">
        <v>0</v>
      </c>
      <c r="X4" s="475"/>
      <c r="Y4" s="1"/>
      <c r="Z4" s="1"/>
      <c r="AA4" s="1"/>
      <c r="AB4" s="18" t="s">
        <v>21</v>
      </c>
      <c r="AC4" s="7">
        <f>C15</f>
        <v>4.1130000000000004</v>
      </c>
      <c r="AD4" s="20">
        <f>AC4-$AC$4</f>
        <v>0</v>
      </c>
      <c r="AE4" s="22">
        <v>0</v>
      </c>
      <c r="AF4" s="1"/>
      <c r="AG4" s="1"/>
      <c r="AH4" s="18" t="s">
        <v>21</v>
      </c>
      <c r="AI4" s="7">
        <f>C16</f>
        <v>1.7989999999999999</v>
      </c>
      <c r="AJ4" s="20">
        <f>AI4-$AI$4</f>
        <v>0</v>
      </c>
      <c r="AK4" s="22">
        <v>0</v>
      </c>
      <c r="AL4" s="1"/>
      <c r="AM4" s="1"/>
      <c r="AN4" s="18" t="s">
        <v>21</v>
      </c>
      <c r="AO4" s="7">
        <f>C18</f>
        <v>1.9930000000000001</v>
      </c>
      <c r="AP4" s="20">
        <f>AO4-$AO$4</f>
        <v>0</v>
      </c>
      <c r="AQ4" s="22">
        <v>0</v>
      </c>
      <c r="AR4" s="1"/>
      <c r="AS4" s="1"/>
      <c r="AT4" s="18" t="s">
        <v>21</v>
      </c>
      <c r="AU4" s="7">
        <f>C19</f>
        <v>2.0659999999999998</v>
      </c>
      <c r="AV4" s="20">
        <f>AU4-$U$4</f>
        <v>0.13699999999999979</v>
      </c>
      <c r="AW4" s="22">
        <v>0</v>
      </c>
      <c r="AX4" s="1"/>
      <c r="AY4" s="1"/>
      <c r="AZ4" s="107" t="s">
        <v>61</v>
      </c>
      <c r="BA4" s="108" t="s">
        <v>63</v>
      </c>
      <c r="BB4" s="109">
        <v>25</v>
      </c>
      <c r="BC4" s="1"/>
      <c r="BD4" s="1"/>
      <c r="BE4" s="1"/>
      <c r="BF4" s="1"/>
      <c r="BG4" s="1"/>
      <c r="BH4" s="1"/>
      <c r="BI4" s="1"/>
      <c r="BJ4" s="1"/>
      <c r="BK4" s="1"/>
      <c r="BL4" s="1"/>
      <c r="BM4" s="1"/>
      <c r="BN4" s="1"/>
      <c r="BO4" s="1"/>
      <c r="BP4" s="1"/>
      <c r="BQ4" s="1"/>
      <c r="BR4" s="1"/>
      <c r="BS4" s="1"/>
    </row>
    <row r="5" spans="1:71" x14ac:dyDescent="0.25">
      <c r="A5" s="1"/>
      <c r="B5" s="16">
        <v>25</v>
      </c>
      <c r="C5" s="7">
        <v>3.7559999999999998</v>
      </c>
      <c r="D5" s="6">
        <v>2.1000000000000001E-2</v>
      </c>
      <c r="E5" s="21">
        <f t="shared" ref="E5:E8" si="0">D5/C5</f>
        <v>5.5910543130990422E-3</v>
      </c>
      <c r="F5" s="8"/>
      <c r="G5" s="8"/>
      <c r="H5" s="8"/>
      <c r="I5" s="8"/>
      <c r="J5" s="8"/>
      <c r="K5" s="17">
        <v>25</v>
      </c>
      <c r="L5" s="7">
        <v>1.58</v>
      </c>
      <c r="M5" s="9">
        <v>0.317</v>
      </c>
      <c r="N5" s="21">
        <f t="shared" ref="N5:N8" si="1">M5/L5</f>
        <v>0.20063291139240505</v>
      </c>
      <c r="O5" s="1"/>
      <c r="P5" s="1"/>
      <c r="Q5" s="1"/>
      <c r="R5" s="1"/>
      <c r="S5" s="1"/>
      <c r="T5" s="18" t="s">
        <v>16</v>
      </c>
      <c r="U5" s="7">
        <f>C25</f>
        <v>3.802</v>
      </c>
      <c r="V5" s="20">
        <f>U5-$U$4</f>
        <v>1.873</v>
      </c>
      <c r="W5" s="22">
        <f>U5/$U$4</f>
        <v>1.9709694142042509</v>
      </c>
      <c r="X5" s="475"/>
      <c r="Y5" s="1"/>
      <c r="Z5" s="1"/>
      <c r="AA5" s="1"/>
      <c r="AB5" s="18" t="s">
        <v>16</v>
      </c>
      <c r="AC5" s="7">
        <f>C23</f>
        <v>7.21</v>
      </c>
      <c r="AD5" s="20">
        <f t="shared" ref="AD5:AD8" si="2">AC5-$AC$4</f>
        <v>3.0969999999999995</v>
      </c>
      <c r="AE5" s="22">
        <f>AC5/$AC$4</f>
        <v>1.7529783612934595</v>
      </c>
      <c r="AF5" s="1"/>
      <c r="AG5" s="1"/>
      <c r="AH5" s="18" t="s">
        <v>16</v>
      </c>
      <c r="AI5" s="7">
        <f>C24</f>
        <v>3.9430000000000001</v>
      </c>
      <c r="AJ5" s="20">
        <f t="shared" ref="AJ5:AJ8" si="3">AI5-$AI$4</f>
        <v>2.1440000000000001</v>
      </c>
      <c r="AK5" s="22">
        <f>AI5/$AI$4</f>
        <v>2.1917732073374099</v>
      </c>
      <c r="AL5" s="1"/>
      <c r="AM5" s="1"/>
      <c r="AN5" s="18" t="s">
        <v>16</v>
      </c>
      <c r="AO5" s="7">
        <f>C26</f>
        <v>3.7570000000000001</v>
      </c>
      <c r="AP5" s="20">
        <f t="shared" ref="AP5:AP8" si="4">AO5-$AO$4</f>
        <v>1.764</v>
      </c>
      <c r="AQ5" s="22">
        <f>AO5/$AO$4</f>
        <v>1.88509784244857</v>
      </c>
      <c r="AR5" s="1"/>
      <c r="AS5" s="1"/>
      <c r="AT5" s="18" t="s">
        <v>16</v>
      </c>
      <c r="AU5" s="7">
        <f>C27</f>
        <v>3.7320000000000002</v>
      </c>
      <c r="AV5" s="20">
        <f>AU5-$U$4</f>
        <v>1.8030000000000002</v>
      </c>
      <c r="AW5" s="22">
        <f>AU5/$U$4</f>
        <v>1.9346811819595646</v>
      </c>
      <c r="AX5" s="1"/>
      <c r="AY5" s="1"/>
      <c r="AZ5" s="110" t="s">
        <v>62</v>
      </c>
      <c r="BA5" s="111" t="s">
        <v>56</v>
      </c>
      <c r="BB5" s="112">
        <v>0</v>
      </c>
      <c r="BC5" s="1"/>
      <c r="BD5" s="1"/>
      <c r="BE5" s="1"/>
      <c r="BF5" s="1"/>
      <c r="BG5" s="1"/>
      <c r="BH5" s="1"/>
      <c r="BI5" s="1"/>
      <c r="BJ5" s="1"/>
      <c r="BK5" s="1"/>
      <c r="BL5" s="1"/>
      <c r="BM5" s="1"/>
      <c r="BN5" s="1"/>
      <c r="BO5" s="1"/>
      <c r="BP5" s="1"/>
      <c r="BQ5" s="1"/>
      <c r="BR5" s="1"/>
      <c r="BS5" s="1"/>
    </row>
    <row r="6" spans="1:71" x14ac:dyDescent="0.25">
      <c r="A6" s="1"/>
      <c r="B6" s="16">
        <v>50</v>
      </c>
      <c r="C6" s="7">
        <v>3.7370000000000001</v>
      </c>
      <c r="D6" s="6">
        <v>3.1E-2</v>
      </c>
      <c r="E6" s="21">
        <f t="shared" si="0"/>
        <v>8.2954241370082945E-3</v>
      </c>
      <c r="F6" s="8"/>
      <c r="G6" s="10"/>
      <c r="H6" s="8"/>
      <c r="I6" s="8"/>
      <c r="J6" s="8"/>
      <c r="K6" s="17">
        <v>50</v>
      </c>
      <c r="L6" s="7">
        <v>1.389</v>
      </c>
      <c r="M6" s="9">
        <v>0.192</v>
      </c>
      <c r="N6" s="21">
        <f t="shared" si="1"/>
        <v>0.13822894168466524</v>
      </c>
      <c r="O6" s="1"/>
      <c r="P6" s="1"/>
      <c r="Q6" s="1"/>
      <c r="R6" s="1"/>
      <c r="S6" s="1"/>
      <c r="T6" s="18" t="s">
        <v>17</v>
      </c>
      <c r="U6" s="7">
        <f>C33</f>
        <v>5.4351198335644924</v>
      </c>
      <c r="V6" s="20">
        <f>U6-$U$4</f>
        <v>3.5061198335644921</v>
      </c>
      <c r="W6" s="22">
        <f t="shared" ref="W6:W8" si="5">U6/$U$4</f>
        <v>2.8175841542584199</v>
      </c>
      <c r="X6" s="475"/>
      <c r="Y6" s="1"/>
      <c r="Z6" s="1"/>
      <c r="AA6" s="1"/>
      <c r="AB6" s="18" t="s">
        <v>17</v>
      </c>
      <c r="AC6" s="7">
        <f>C31</f>
        <v>10.306999999999999</v>
      </c>
      <c r="AD6" s="20">
        <f t="shared" si="2"/>
        <v>6.1939999999999982</v>
      </c>
      <c r="AE6" s="22">
        <f t="shared" ref="AE6:AE8" si="6">AC6/$AC$4</f>
        <v>2.505956722586919</v>
      </c>
      <c r="AF6" s="1"/>
      <c r="AG6" s="1"/>
      <c r="AH6" s="18" t="s">
        <v>17</v>
      </c>
      <c r="AI6" s="7">
        <f>C32</f>
        <v>5.636685298196948</v>
      </c>
      <c r="AJ6" s="20">
        <f t="shared" si="3"/>
        <v>3.837685298196948</v>
      </c>
      <c r="AK6" s="22">
        <f t="shared" ref="AK6:AK8" si="7">AI6/$AI$4</f>
        <v>3.1332325170633397</v>
      </c>
      <c r="AL6" s="1"/>
      <c r="AM6" s="1"/>
      <c r="AN6" s="18" t="s">
        <v>17</v>
      </c>
      <c r="AO6" s="7">
        <f>C34</f>
        <v>5.3707904299583902</v>
      </c>
      <c r="AP6" s="20">
        <f t="shared" si="4"/>
        <v>3.3777904299583899</v>
      </c>
      <c r="AQ6" s="22">
        <f t="shared" ref="AQ6:AQ8" si="8">AO6/$AO$4</f>
        <v>2.6948271098637178</v>
      </c>
      <c r="AR6" s="1"/>
      <c r="AS6" s="1"/>
      <c r="AT6" s="18" t="s">
        <v>17</v>
      </c>
      <c r="AU6" s="7">
        <f>C35</f>
        <v>5.3350518723994442</v>
      </c>
      <c r="AV6" s="20">
        <f>AU6-$U$4</f>
        <v>3.406051872399444</v>
      </c>
      <c r="AW6" s="22">
        <f t="shared" ref="AW6:AW8" si="9">AU6/$U$4</f>
        <v>2.7657085911868555</v>
      </c>
      <c r="AX6" s="1"/>
      <c r="AY6" s="1"/>
      <c r="AZ6" s="113" t="s">
        <v>83</v>
      </c>
      <c r="BA6" s="114" t="s">
        <v>55</v>
      </c>
      <c r="BB6" s="115" t="s">
        <v>59</v>
      </c>
      <c r="BC6" s="1"/>
      <c r="BD6" s="1"/>
      <c r="BE6" s="1"/>
      <c r="BF6" s="1"/>
      <c r="BG6" s="1"/>
      <c r="BH6" s="1"/>
      <c r="BI6" s="1"/>
      <c r="BJ6" s="1"/>
      <c r="BK6" s="1"/>
      <c r="BL6" s="1"/>
      <c r="BM6" s="1"/>
      <c r="BN6" s="1"/>
      <c r="BO6" s="1"/>
      <c r="BP6" s="1"/>
      <c r="BQ6" s="1"/>
      <c r="BR6" s="1"/>
      <c r="BS6" s="1"/>
    </row>
    <row r="7" spans="1:71" ht="15" customHeight="1" x14ac:dyDescent="0.25">
      <c r="A7" s="1"/>
      <c r="B7" s="16">
        <v>75</v>
      </c>
      <c r="C7" s="7">
        <v>3.7130000000000001</v>
      </c>
      <c r="D7" s="6">
        <v>4.3999999999999997E-2</v>
      </c>
      <c r="E7" s="21">
        <f t="shared" si="0"/>
        <v>1.1850255857796929E-2</v>
      </c>
      <c r="F7" s="8"/>
      <c r="G7" s="8"/>
      <c r="H7" s="8"/>
      <c r="I7" s="8"/>
      <c r="J7" s="8"/>
      <c r="K7" s="17">
        <v>75</v>
      </c>
      <c r="L7" s="7">
        <v>1.304</v>
      </c>
      <c r="M7" s="9">
        <v>0.20899999999999999</v>
      </c>
      <c r="N7" s="21">
        <f t="shared" si="1"/>
        <v>0.16027607361963189</v>
      </c>
      <c r="O7" s="1"/>
      <c r="P7" s="1"/>
      <c r="Q7" s="1"/>
      <c r="R7" s="1"/>
      <c r="S7" s="1"/>
      <c r="T7" s="18" t="s">
        <v>24</v>
      </c>
      <c r="U7" s="7">
        <f>L17</f>
        <v>3.3879453561452508</v>
      </c>
      <c r="V7" s="20">
        <f>U7-$U$4</f>
        <v>1.4589453561452508</v>
      </c>
      <c r="W7" s="22">
        <f t="shared" si="5"/>
        <v>1.7563221130872217</v>
      </c>
      <c r="X7" s="475"/>
      <c r="Y7" s="1"/>
      <c r="Z7" s="1"/>
      <c r="AA7" s="1"/>
      <c r="AB7" s="18" t="s">
        <v>24</v>
      </c>
      <c r="AC7" s="7">
        <f>L15</f>
        <v>8.7929999999999993</v>
      </c>
      <c r="AD7" s="20">
        <f t="shared" si="2"/>
        <v>4.6799999999999988</v>
      </c>
      <c r="AE7" s="22">
        <f t="shared" si="6"/>
        <v>2.1378555798687087</v>
      </c>
      <c r="AF7" s="1"/>
      <c r="AG7" s="1"/>
      <c r="AH7" s="18" t="s">
        <v>24</v>
      </c>
      <c r="AI7" s="7">
        <f>L16</f>
        <v>4.0848765712290502</v>
      </c>
      <c r="AJ7" s="20">
        <f t="shared" si="3"/>
        <v>2.2858765712290503</v>
      </c>
      <c r="AK7" s="22">
        <f t="shared" si="7"/>
        <v>2.2706373380928575</v>
      </c>
      <c r="AL7" s="1"/>
      <c r="AM7" s="1"/>
      <c r="AN7" s="18" t="s">
        <v>24</v>
      </c>
      <c r="AO7" s="7">
        <f>L18</f>
        <v>3.1438659217877092</v>
      </c>
      <c r="AP7" s="20">
        <f t="shared" si="4"/>
        <v>1.1508659217877091</v>
      </c>
      <c r="AQ7" s="22">
        <f t="shared" si="8"/>
        <v>1.5774540500690963</v>
      </c>
      <c r="AR7" s="1"/>
      <c r="AS7" s="1"/>
      <c r="AT7" s="18" t="s">
        <v>24</v>
      </c>
      <c r="AU7" s="7">
        <f>L19</f>
        <v>3.0394797486033518</v>
      </c>
      <c r="AV7" s="20">
        <f>AU7-$U$4</f>
        <v>1.1104797486033517</v>
      </c>
      <c r="AW7" s="22">
        <f t="shared" si="9"/>
        <v>1.5756763860048479</v>
      </c>
      <c r="AX7" s="1"/>
      <c r="AY7" s="1"/>
      <c r="AZ7" s="116" t="s">
        <v>53</v>
      </c>
      <c r="BA7" s="117" t="s">
        <v>55</v>
      </c>
      <c r="BB7" s="118" t="s">
        <v>82</v>
      </c>
      <c r="BC7" s="1"/>
      <c r="BD7" s="1"/>
      <c r="BE7" s="1"/>
      <c r="BF7" s="1"/>
      <c r="BG7" s="1"/>
      <c r="BH7" s="1"/>
      <c r="BI7" s="1"/>
      <c r="BJ7" s="1"/>
      <c r="BK7" s="1"/>
      <c r="BL7" s="1"/>
      <c r="BM7" s="1"/>
      <c r="BN7" s="1"/>
      <c r="BO7" s="1"/>
      <c r="BP7" s="1"/>
      <c r="BQ7" s="1"/>
      <c r="BR7" s="1"/>
      <c r="BS7" s="1"/>
    </row>
    <row r="8" spans="1:71" x14ac:dyDescent="0.25">
      <c r="A8" s="1"/>
      <c r="B8" s="16">
        <v>100</v>
      </c>
      <c r="C8" s="7">
        <v>3.6880000000000002</v>
      </c>
      <c r="D8" s="6">
        <v>5.2999999999999999E-2</v>
      </c>
      <c r="E8" s="21">
        <f t="shared" si="0"/>
        <v>1.4370932754880694E-2</v>
      </c>
      <c r="F8" s="8"/>
      <c r="G8" s="8"/>
      <c r="H8" s="8"/>
      <c r="I8" s="8"/>
      <c r="J8" s="8"/>
      <c r="K8" s="17">
        <v>100</v>
      </c>
      <c r="L8" s="7">
        <v>1.276</v>
      </c>
      <c r="M8" s="9">
        <v>9.1999999999999998E-2</v>
      </c>
      <c r="N8" s="21">
        <f t="shared" si="1"/>
        <v>7.2100313479623826E-2</v>
      </c>
      <c r="O8" s="1"/>
      <c r="P8" s="1"/>
      <c r="Q8" s="1"/>
      <c r="R8" s="1"/>
      <c r="S8" s="1"/>
      <c r="T8" s="18" t="s">
        <v>20</v>
      </c>
      <c r="U8" s="7">
        <f>L25</f>
        <v>7.213426648799766</v>
      </c>
      <c r="V8" s="20">
        <f>U8-$U$4</f>
        <v>5.2844266487997658</v>
      </c>
      <c r="W8" s="22">
        <f t="shared" si="5"/>
        <v>3.7394643073093654</v>
      </c>
      <c r="X8" s="475"/>
      <c r="Y8" s="1"/>
      <c r="Z8" s="1"/>
      <c r="AA8" s="1"/>
      <c r="AB8" s="18" t="s">
        <v>20</v>
      </c>
      <c r="AC8" s="7">
        <f>L23</f>
        <v>16.10192</v>
      </c>
      <c r="AD8" s="20">
        <f t="shared" si="2"/>
        <v>11.98892</v>
      </c>
      <c r="AE8" s="22">
        <f t="shared" si="6"/>
        <v>3.9148845125212737</v>
      </c>
      <c r="AF8" s="1"/>
      <c r="AG8" s="1"/>
      <c r="AH8" s="18" t="s">
        <v>20</v>
      </c>
      <c r="AI8" s="7">
        <f>L24</f>
        <v>8.089118075632479</v>
      </c>
      <c r="AJ8" s="20">
        <f t="shared" si="3"/>
        <v>6.2901180756324795</v>
      </c>
      <c r="AK8" s="22">
        <f t="shared" si="7"/>
        <v>4.4964525156378432</v>
      </c>
      <c r="AL8" s="1"/>
      <c r="AM8" s="1"/>
      <c r="AN8" s="18" t="s">
        <v>20</v>
      </c>
      <c r="AO8" s="7">
        <f>L26</f>
        <v>6.9040745366279479</v>
      </c>
      <c r="AP8" s="20">
        <f t="shared" si="4"/>
        <v>4.9110745366279476</v>
      </c>
      <c r="AQ8" s="22">
        <f t="shared" si="8"/>
        <v>3.4641618347355481</v>
      </c>
      <c r="AR8" s="1"/>
      <c r="AS8" s="1"/>
      <c r="AT8" s="18" t="s">
        <v>20</v>
      </c>
      <c r="AU8" s="7">
        <f>L27</f>
        <v>6.7652440987223574</v>
      </c>
      <c r="AV8" s="20">
        <f>AU8-$U$4</f>
        <v>4.8362440987223572</v>
      </c>
      <c r="AW8" s="22">
        <f t="shared" si="9"/>
        <v>3.5071249863775829</v>
      </c>
      <c r="AX8" s="1"/>
      <c r="AY8" s="1"/>
      <c r="AZ8" s="116" t="s">
        <v>75</v>
      </c>
      <c r="BA8" s="117" t="s">
        <v>55</v>
      </c>
      <c r="BB8" s="118" t="s">
        <v>82</v>
      </c>
      <c r="BC8" s="1"/>
      <c r="BD8" s="1"/>
      <c r="BE8" s="1"/>
      <c r="BF8" s="1"/>
      <c r="BG8" s="1"/>
      <c r="BH8" s="1"/>
      <c r="BI8" s="1"/>
      <c r="BJ8" s="1"/>
      <c r="BK8" s="1"/>
      <c r="BL8" s="1"/>
      <c r="BM8" s="1"/>
      <c r="BN8" s="1"/>
      <c r="BO8" s="1"/>
      <c r="BP8" s="1"/>
      <c r="BQ8" s="1"/>
      <c r="BR8" s="1"/>
      <c r="BS8" s="1"/>
    </row>
    <row r="9" spans="1:71" x14ac:dyDescent="0.25">
      <c r="A9" s="1"/>
      <c r="B9" s="51"/>
      <c r="C9" s="12"/>
      <c r="D9" s="52"/>
      <c r="E9" s="53"/>
      <c r="F9" s="8"/>
      <c r="G9" s="8"/>
      <c r="H9" s="8"/>
      <c r="I9" s="8"/>
      <c r="J9" s="8"/>
      <c r="K9" s="54"/>
      <c r="L9" s="12"/>
      <c r="M9" s="55"/>
      <c r="N9" s="53"/>
      <c r="O9" s="1"/>
      <c r="P9" s="1"/>
      <c r="Q9" s="1"/>
      <c r="R9" s="1"/>
      <c r="S9" s="1"/>
      <c r="T9" s="56"/>
      <c r="U9" s="12"/>
      <c r="V9" s="57"/>
      <c r="W9" s="58"/>
      <c r="X9" s="1"/>
      <c r="Y9" s="1"/>
      <c r="Z9" s="1"/>
      <c r="AA9" s="1"/>
      <c r="AB9" s="56"/>
      <c r="AC9" s="12"/>
      <c r="AD9" s="57"/>
      <c r="AE9" s="58"/>
      <c r="AF9" s="1"/>
      <c r="AG9" s="1"/>
      <c r="AH9" s="56"/>
      <c r="AI9" s="12"/>
      <c r="AJ9" s="57"/>
      <c r="AK9" s="58"/>
      <c r="AL9" s="1"/>
      <c r="AM9" s="1"/>
      <c r="AN9" s="56"/>
      <c r="AO9" s="12"/>
      <c r="AP9" s="57"/>
      <c r="AQ9" s="58"/>
      <c r="AR9" s="1"/>
      <c r="AS9" s="1"/>
      <c r="AT9" s="56"/>
      <c r="AU9" s="12"/>
      <c r="AV9" s="57"/>
      <c r="AW9" s="58"/>
      <c r="AX9" s="1"/>
      <c r="AY9" s="1"/>
      <c r="AZ9" s="119" t="s">
        <v>84</v>
      </c>
      <c r="BA9" s="120" t="s">
        <v>55</v>
      </c>
      <c r="BB9" s="121" t="s">
        <v>82</v>
      </c>
      <c r="BC9" s="1"/>
      <c r="BD9" s="1"/>
      <c r="BE9" s="1"/>
      <c r="BF9" s="1"/>
      <c r="BG9" s="1"/>
      <c r="BH9" s="1"/>
      <c r="BI9" s="1"/>
      <c r="BJ9" s="1"/>
      <c r="BK9" s="1"/>
      <c r="BL9" s="1"/>
      <c r="BM9" s="1"/>
      <c r="BN9" s="1"/>
      <c r="BO9" s="1"/>
      <c r="BP9" s="1"/>
      <c r="BQ9" s="1"/>
      <c r="BR9" s="1"/>
      <c r="BS9" s="1"/>
    </row>
    <row r="10" spans="1:71" x14ac:dyDescent="0.25">
      <c r="A10" s="1"/>
      <c r="B10" s="51"/>
      <c r="C10" s="12"/>
      <c r="D10" s="52"/>
      <c r="E10" s="53"/>
      <c r="F10" s="8"/>
      <c r="G10" s="8"/>
      <c r="H10" s="8"/>
      <c r="I10" s="8"/>
      <c r="J10" s="8"/>
      <c r="K10" s="54"/>
      <c r="L10" s="12"/>
      <c r="M10" s="55"/>
      <c r="N10" s="53"/>
      <c r="O10" s="1"/>
      <c r="P10" s="1"/>
      <c r="Q10" s="1"/>
      <c r="R10" s="1"/>
      <c r="S10" s="1"/>
      <c r="T10" s="56"/>
      <c r="U10" s="12"/>
      <c r="V10" s="57"/>
      <c r="W10" s="58"/>
      <c r="X10" s="1"/>
      <c r="Y10" s="1"/>
      <c r="Z10" s="1"/>
      <c r="AA10" s="1"/>
      <c r="AB10" s="56"/>
      <c r="AC10" s="12"/>
      <c r="AD10" s="57"/>
      <c r="AE10" s="58"/>
      <c r="AF10" s="1"/>
      <c r="AG10" s="1"/>
      <c r="AH10" s="56"/>
      <c r="AI10" s="12"/>
      <c r="AJ10" s="57"/>
      <c r="AK10" s="58"/>
      <c r="AL10" s="1"/>
      <c r="AM10" s="1"/>
      <c r="AN10" s="56"/>
      <c r="AO10" s="12"/>
      <c r="AP10" s="57"/>
      <c r="AQ10" s="58"/>
      <c r="AR10" s="1"/>
      <c r="AS10" s="1"/>
      <c r="AT10" s="56"/>
      <c r="AU10" s="12"/>
      <c r="AV10" s="57"/>
      <c r="AW10" s="58"/>
      <c r="AX10" s="1"/>
      <c r="AY10" s="1"/>
      <c r="AZ10" s="119" t="s">
        <v>85</v>
      </c>
      <c r="BA10" s="120" t="s">
        <v>55</v>
      </c>
      <c r="BB10" s="121" t="s">
        <v>59</v>
      </c>
      <c r="BC10" s="1"/>
      <c r="BD10" s="1"/>
      <c r="BE10" s="1"/>
      <c r="BF10" s="1"/>
      <c r="BG10" s="1"/>
      <c r="BH10" s="1"/>
      <c r="BI10" s="1"/>
      <c r="BJ10" s="1"/>
      <c r="BK10" s="1"/>
      <c r="BL10" s="1"/>
      <c r="BM10" s="1"/>
      <c r="BN10" s="1"/>
      <c r="BO10" s="1"/>
      <c r="BP10" s="1"/>
      <c r="BQ10" s="1"/>
      <c r="BR10" s="1"/>
      <c r="BS10" s="1"/>
    </row>
    <row r="11" spans="1:71" x14ac:dyDescent="0.25">
      <c r="A11" s="1"/>
      <c r="B11" s="8"/>
      <c r="C11" s="8"/>
      <c r="D11" s="8"/>
      <c r="E11" s="8"/>
      <c r="F11" s="8"/>
      <c r="G11" s="8"/>
      <c r="H11" s="8"/>
      <c r="I11" s="8"/>
      <c r="J11" s="8"/>
      <c r="K11" s="8"/>
      <c r="L11" s="8"/>
      <c r="M11" s="8"/>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22" t="s">
        <v>125</v>
      </c>
      <c r="BA11" s="123" t="s">
        <v>55</v>
      </c>
      <c r="BB11" s="124" t="s">
        <v>82</v>
      </c>
      <c r="BC11" s="1"/>
      <c r="BD11" s="1"/>
      <c r="BE11" s="1"/>
      <c r="BF11" s="1"/>
      <c r="BG11" s="1"/>
      <c r="BH11" s="1"/>
      <c r="BI11" s="1"/>
      <c r="BJ11" s="1"/>
      <c r="BK11" s="1"/>
      <c r="BL11" s="1"/>
      <c r="BM11" s="1"/>
      <c r="BN11" s="1"/>
      <c r="BO11" s="1"/>
      <c r="BP11" s="1"/>
      <c r="BQ11" s="1"/>
      <c r="BR11" s="1"/>
      <c r="BS11" s="1"/>
    </row>
    <row r="12" spans="1:71" x14ac:dyDescent="0.25">
      <c r="A12" s="1"/>
      <c r="B12" s="8"/>
      <c r="C12" s="8"/>
      <c r="D12" s="8"/>
      <c r="E12" s="8"/>
      <c r="F12" s="8"/>
      <c r="G12" s="8"/>
      <c r="H12" s="8"/>
      <c r="I12" s="8"/>
      <c r="J12" s="8"/>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x14ac:dyDescent="0.25">
      <c r="A13" s="1"/>
      <c r="B13" s="8" t="s">
        <v>5</v>
      </c>
      <c r="C13" s="8"/>
      <c r="D13" s="8"/>
      <c r="E13" s="8"/>
      <c r="F13" s="8"/>
      <c r="G13" s="8"/>
      <c r="H13" s="8"/>
      <c r="I13" s="8"/>
      <c r="J13" s="8"/>
      <c r="K13" s="8" t="s">
        <v>203</v>
      </c>
      <c r="L13" s="8"/>
      <c r="M13" s="8"/>
      <c r="N13" s="8"/>
      <c r="O13" s="1"/>
      <c r="P13" s="1"/>
      <c r="Q13" s="1"/>
      <c r="R13" s="1"/>
      <c r="S13" s="1"/>
      <c r="T13" s="19" t="s">
        <v>29</v>
      </c>
      <c r="U13" s="19" t="s">
        <v>8</v>
      </c>
      <c r="V13" s="19" t="s">
        <v>12</v>
      </c>
      <c r="W13" s="19" t="s">
        <v>13</v>
      </c>
      <c r="X13" s="1"/>
      <c r="Y13" s="1"/>
      <c r="Z13" s="1"/>
      <c r="AA13" s="1"/>
      <c r="AB13" s="19" t="s">
        <v>31</v>
      </c>
      <c r="AC13" s="19" t="s">
        <v>8</v>
      </c>
      <c r="AD13" s="19" t="s">
        <v>12</v>
      </c>
      <c r="AE13" s="19" t="s">
        <v>13</v>
      </c>
      <c r="AF13" s="1"/>
      <c r="AG13" s="1"/>
      <c r="AH13" s="19" t="s">
        <v>43</v>
      </c>
      <c r="AI13" s="19" t="s">
        <v>8</v>
      </c>
      <c r="AJ13" s="19" t="s">
        <v>12</v>
      </c>
      <c r="AK13" s="19" t="s">
        <v>13</v>
      </c>
      <c r="AL13" s="1"/>
      <c r="AM13" s="1"/>
      <c r="AN13" s="19" t="s">
        <v>45</v>
      </c>
      <c r="AO13" s="19" t="s">
        <v>8</v>
      </c>
      <c r="AP13" s="19" t="s">
        <v>12</v>
      </c>
      <c r="AQ13" s="19" t="s">
        <v>13</v>
      </c>
      <c r="AR13" s="1"/>
      <c r="AS13" s="1"/>
      <c r="AT13" s="19" t="s">
        <v>47</v>
      </c>
      <c r="AU13" s="19" t="s">
        <v>8</v>
      </c>
      <c r="AV13" s="19" t="s">
        <v>12</v>
      </c>
      <c r="AW13" s="19" t="s">
        <v>13</v>
      </c>
      <c r="AX13" s="1"/>
      <c r="AY13" s="1"/>
      <c r="AZ13" s="1"/>
      <c r="BA13" s="125" t="s">
        <v>86</v>
      </c>
      <c r="BB13" s="126">
        <f>IF(AND(BB4=100,BB5=0,BB6="No",BB7="No",BB8="No"),AU4,IF(AND(BB4=100,BB5=3.68,BB6="No",BB7="No",BB8="No"),AU5,IF(AND(BB4=100,BB5=7.36,BB6="No",BB7="No",BB8="No"),AU6,IF(AND(BB4=100,BB5=0,BB6="Yes",BB7="No",BB8="No"),AU7,IF(AND(BB4=100,BB5=7.36,BB6="Yes",BB7="No",BB8="No"),AU8,IF(AND(BB4=100,BB5=0,BB6="No",BB7="Yes",BB8="No"),AU15,IF(AND(BB4=100,BB5=3.68,BB6="No",BB7="Yes",BB8="No"),AU16,IF(AND(BB4=100,BB5=7.36,BB6="No",BB7="Yes",BB8="No"),AU17,IF(AND(BB4=100,BB5=0,BB6="Yes",BB7="Yes",BB8="No"),AU18,IF(AND(BB4=100,BB5=7.36,BB6="Yes",BB7="Yes",BB8="No"),AU19,IF(AND(BB4=100,BB5=0,BB6="No",BB7="Yes",BB8="Yes"),AU23,IF(AND(BB4=100,BB5=3.68,BB6="No",BB7="Yes",BB8="Yes"),AU24,IF(AND(BB4=100,BB5=7.36,BB6="No",BB7="Yes",BB8="Yes"),AU25,IF(AND(BB4=100,BB5=0,BB6="Yes",BB7="Yes",BB8="Yes"),AU26,IF(AND(BB4=100,BB5=7.36,BB6="Yes",BB7="Yes",BB8="Yes"),AU27,IF(AND(BB4=1,BB5=0,BB6="No",BB7="No",BB8="No"),AC4,IF(AND(BB4=1,BB5=3.68,BB6="No",BB7="No",BB8="No"),AC5,IF(AND(BB4=1,BB5=7.36,BB6="No",BB7="No",BB8="No"),AC6,IF(AND(BB4=1,BB5=0,BB6="Yes",BB7="No",BB8="No"),AC7,IF(AND(BB4=1,BB5=7.36,BB6="Yes",BB7="No",BB8="No"),AC8,IF(AND(BB4=1,BB5=0,BB6="No",BB7="Yes",BB8="No"),AC15,IF(AND(BB4=1,BB5=3.68,BB6="No",BB7="Yes",BB8="No"),AC16,IF(AND(BB4=1,BB5=7.36,BB6="No",BB7="Yes",BB8="No"),AC17,IF(AND(BB4=1,BB5=0,BB6="Yes",BB7="Yes",BB8="No"),AC18,IF(AND(BB4=1,BB5=7.36,BB6="Yes",BB7="Yes",BB8="No"),AC19,IF(AND(BB4=1,BB5=0,BB6="No",BB7="Yes",BB8="Yes"),AC23,IF(AND(BB4=1,BB5=3.68,BB6="No",BB7="Yes",BB8="Yes"),AC24,IF(AND(BB4=1,BB5=7.36,BB6="No",BB7="Yes",BB8="Yes"),AC25,IF(AND(BB4=1,BB5=0,BB6="Yes",BB7="Yes",BB8="Yes"),AC26,IF(AND(BB4=1,BB5=7.36,BB6="Yes",BB7="Yes",BB8="Yes"),AC27,IF(AND(BB4=25,BB5=0,BB6="No",BB7="No",BB8="No"),AI4,IF(AND(BB4=25,BB5=3.68,BB6="No",BB7="No",BB8="No"),AI5,IF(AND(BB4=25,BB5=7.36,BB6="No",BB7="No",BB8="No"),AI6,IF(AND(BB4=25,BB5=0,BB6="Yes",BB7="No",BB8="No"),AI7,IF(AND(BB4=25,BB5=7.36,BB6="Yes",BB7="No",BB8="No"),AI8,IF(AND(BB4=25,BB5=0,BB6="No",BB7="Yes",BB8="No"),AI15,IF(AND(BB4=25,BB5=3.68,BB6="No",BB7="Yes",BB8="No"),AI16,IF(AND(BB4=25,BB5=7.36,BB6="No",BB7="Yes",BB8="No"),AI17,IF(AND(BB4=25,BB5=0,BB6="Yes",BB7="Yes",BB8="No"),AI18,IF(AND(BB4=25,BB5=7.36,BB6="Yes",BB7="Yes",BB8="No"),AI19,IF(AND(BB4=25,BB5=0,BB6="No",BB7="Yes",BB8="Yes"),AI23,IF(AND(BB4=25,BB5=3.68,BB6="No",BB7="Yes",BB8="Yes"),AI24,IF(AND(BB4=25,BB5=7.36,BB6="No",BB7="Yes",BB8="Yes"),AI25,IF(AND(BB4=25,BB5=0,BB6="Yes",BB7="Yes",BB8="Yes"),AI26,IF(AND(BB4=25,BB5=7.36,BB6="Yes",BB7="Yes",BB8="Yes"),AI27,IF(AND(BB4=50,BB5=0,BB6="No",BB7="No",BB8="No"),U4,IF(AND(BB4=50,BB5=3.68,BB6="No",BB7="No",BB8="No"),U5,IF(AND(BB4=50,BB5=7.36,BB6="No",BB7="No",BB8="No"),U6,IF(AND(BB4=50,BB5=0,BB6="Yes",BB7="No",BB8="No"),U7,IF(AND(BB4=50,BB5=7.36,BB6="Yes",BB7="No",BB8="No"),U8,IF(AND(BB4=50,BB5=0,BB6="No",BB7="Yes",BB8="No"),U15,IF(AND(BB4=50,BB5=3.68,BB6="No",BB7="Yes",BB8="No"),U16,IF(AND(BB4=50,BB5=7.36,BB6="No",BB7="Yes",BB8="No"),U17,IF(AND(BB4=50,BB5=0,BB6="Yes",BB7="Yes",BB8="No"),U18,IF(AND(BB4=50,BB5=7.36,BB6="Yes",BB7="Yes",BB8="No"),U19,IF(AND(BB4=50,BB5=0,BB6="No",BB7="Yes",BB8="Yes"),U23,IF(AND(BB4=50,BB5=3.68,BB6="No",BB7="Yes",BB8="Yes"),U24,IF(AND(BB4=50,BB5=7.36,BB6="No",BB7="Yes",BB8="Yes"),U25,IF(AND(BB4=50,BB5=0,BB6="Yes",BB7="Yes",BB8="Yes"),U26,IF(AND(BB4=50,BB5=7.36,BB6="Yes",BB7="Yes",BB8="Yes"),U27,"N/A"))))))))))))))))))))))))))))))))))))))))))))))))))))))))))))</f>
        <v>4.0848765712290502</v>
      </c>
      <c r="BC13" s="1"/>
      <c r="BD13" s="1"/>
      <c r="BE13" s="1"/>
      <c r="BF13" s="1"/>
      <c r="BG13" s="1"/>
      <c r="BH13" s="1"/>
      <c r="BI13" s="1"/>
      <c r="BJ13" s="1"/>
      <c r="BK13" s="1"/>
      <c r="BL13" s="1"/>
      <c r="BM13" s="1"/>
      <c r="BN13" s="1"/>
      <c r="BO13" s="1"/>
      <c r="BP13" s="1"/>
      <c r="BQ13" s="1"/>
      <c r="BR13" s="1"/>
      <c r="BS13" s="1"/>
    </row>
    <row r="14" spans="1:71" x14ac:dyDescent="0.25">
      <c r="A14" s="1"/>
      <c r="B14" s="11" t="s">
        <v>0</v>
      </c>
      <c r="C14" s="11" t="s">
        <v>1</v>
      </c>
      <c r="D14" s="11" t="s">
        <v>2</v>
      </c>
      <c r="E14" s="11" t="s">
        <v>3</v>
      </c>
      <c r="F14" s="8"/>
      <c r="G14" s="8"/>
      <c r="H14" s="8"/>
      <c r="I14" s="8"/>
      <c r="J14" s="8"/>
      <c r="K14" s="15" t="s">
        <v>0</v>
      </c>
      <c r="L14" s="15" t="s">
        <v>1</v>
      </c>
      <c r="M14" s="15" t="s">
        <v>2</v>
      </c>
      <c r="N14" s="15" t="s">
        <v>3</v>
      </c>
      <c r="O14" s="1"/>
      <c r="P14" s="1"/>
      <c r="Q14" s="1"/>
      <c r="R14" s="1"/>
      <c r="S14" s="1"/>
      <c r="T14" s="18" t="s">
        <v>21</v>
      </c>
      <c r="U14" s="7">
        <v>1.93</v>
      </c>
      <c r="V14" s="20">
        <f>U14-$U$14</f>
        <v>0</v>
      </c>
      <c r="W14" s="22">
        <v>0</v>
      </c>
      <c r="X14" s="1"/>
      <c r="Y14" s="1"/>
      <c r="Z14" s="1"/>
      <c r="AA14" s="1"/>
      <c r="AB14" s="18" t="s">
        <v>21</v>
      </c>
      <c r="AC14" s="7">
        <v>4.1100000000000003</v>
      </c>
      <c r="AD14" s="20">
        <f>AC14-$AC$14</f>
        <v>0</v>
      </c>
      <c r="AE14" s="22">
        <v>0</v>
      </c>
      <c r="AF14" s="1"/>
      <c r="AG14" s="1"/>
      <c r="AH14" s="18" t="s">
        <v>21</v>
      </c>
      <c r="AI14" s="7">
        <v>1.8</v>
      </c>
      <c r="AJ14" s="20">
        <f>AI14-$AI$14</f>
        <v>0</v>
      </c>
      <c r="AK14" s="22">
        <v>0</v>
      </c>
      <c r="AL14" s="1"/>
      <c r="AM14" s="1"/>
      <c r="AN14" s="18" t="s">
        <v>21</v>
      </c>
      <c r="AO14" s="7">
        <v>1.99</v>
      </c>
      <c r="AP14" s="20">
        <f>AO14-$AO$14</f>
        <v>0</v>
      </c>
      <c r="AQ14" s="22">
        <v>0</v>
      </c>
      <c r="AR14" s="1"/>
      <c r="AS14" s="1"/>
      <c r="AT14" s="18" t="s">
        <v>21</v>
      </c>
      <c r="AU14" s="7">
        <v>2.0699999999999998</v>
      </c>
      <c r="AV14" s="20">
        <f>AU14-$AU$14</f>
        <v>0</v>
      </c>
      <c r="AW14" s="22">
        <v>0</v>
      </c>
      <c r="AX14" s="1"/>
      <c r="AY14" s="1"/>
      <c r="AZ14" s="1"/>
      <c r="BA14" s="1"/>
      <c r="BB14" s="1"/>
      <c r="BC14" s="1"/>
      <c r="BD14" s="1"/>
      <c r="BE14" s="1"/>
      <c r="BF14" s="1"/>
      <c r="BG14" s="1"/>
      <c r="BH14" s="1"/>
      <c r="BI14" s="1"/>
      <c r="BJ14" s="1"/>
      <c r="BK14" s="1"/>
      <c r="BL14" s="1"/>
      <c r="BM14" s="1"/>
      <c r="BN14" s="1"/>
      <c r="BO14" s="1"/>
      <c r="BP14" s="1"/>
      <c r="BQ14" s="1"/>
      <c r="BR14" s="1"/>
      <c r="BS14" s="1"/>
    </row>
    <row r="15" spans="1:71" x14ac:dyDescent="0.25">
      <c r="A15" s="1"/>
      <c r="B15" s="16">
        <v>1</v>
      </c>
      <c r="C15" s="7">
        <v>4.1130000000000004</v>
      </c>
      <c r="D15" s="6">
        <v>0.76900000000000002</v>
      </c>
      <c r="E15" s="21">
        <f>D15/C15</f>
        <v>0.18696814976902504</v>
      </c>
      <c r="F15" s="8"/>
      <c r="G15" s="8"/>
      <c r="H15" s="8"/>
      <c r="I15" s="8"/>
      <c r="J15" s="8"/>
      <c r="K15" s="17">
        <v>1</v>
      </c>
      <c r="L15" s="7">
        <f>C15+4.68</f>
        <v>8.7929999999999993</v>
      </c>
      <c r="M15" s="9">
        <v>1.98</v>
      </c>
      <c r="N15" s="21">
        <f>M15/L15</f>
        <v>0.22517911975435007</v>
      </c>
      <c r="O15" s="1"/>
      <c r="P15" s="7">
        <v>5.7279999999999998</v>
      </c>
      <c r="Q15" s="1"/>
      <c r="R15" s="1"/>
      <c r="S15" s="1"/>
      <c r="T15" s="18" t="s">
        <v>33</v>
      </c>
      <c r="U15" s="7">
        <f>U4*0.61</f>
        <v>1.17669</v>
      </c>
      <c r="V15" s="20">
        <f>U15-$U$14</f>
        <v>-0.75330999999999992</v>
      </c>
      <c r="W15" s="22">
        <f>U15/$U$14</f>
        <v>0.60968393782383423</v>
      </c>
      <c r="X15" s="1"/>
      <c r="Y15" s="1"/>
      <c r="Z15" s="1"/>
      <c r="AA15" s="1"/>
      <c r="AB15" s="18" t="s">
        <v>39</v>
      </c>
      <c r="AC15" s="7">
        <f>AC4*0.61</f>
        <v>2.5089300000000003</v>
      </c>
      <c r="AD15" s="20">
        <f t="shared" ref="AD15:AD19" si="10">AC15-$AC$14</f>
        <v>-1.60107</v>
      </c>
      <c r="AE15" s="22">
        <f>AC15/$AC$14</f>
        <v>0.61044525547445261</v>
      </c>
      <c r="AF15" s="1"/>
      <c r="AG15" s="1"/>
      <c r="AH15" s="18" t="s">
        <v>39</v>
      </c>
      <c r="AI15" s="7">
        <f>AI4*0.61</f>
        <v>1.0973899999999999</v>
      </c>
      <c r="AJ15" s="20">
        <f t="shared" ref="AJ15:AJ19" si="11">AI15-$AI$14</f>
        <v>-0.70261000000000018</v>
      </c>
      <c r="AK15" s="22">
        <f>AI15/$AI$14</f>
        <v>0.60966111111111099</v>
      </c>
      <c r="AL15" s="1"/>
      <c r="AM15" s="1"/>
      <c r="AN15" s="18" t="s">
        <v>39</v>
      </c>
      <c r="AO15" s="7">
        <f>AO4*0.61</f>
        <v>1.21573</v>
      </c>
      <c r="AP15" s="20">
        <f>AO15-$AO$14</f>
        <v>-0.77427000000000001</v>
      </c>
      <c r="AQ15" s="22">
        <f>AO15/$AO$14</f>
        <v>0.61091959798994977</v>
      </c>
      <c r="AR15" s="1"/>
      <c r="AS15" s="1"/>
      <c r="AT15" s="18" t="s">
        <v>39</v>
      </c>
      <c r="AU15" s="7">
        <f>AU4*0.61</f>
        <v>1.2602599999999999</v>
      </c>
      <c r="AV15" s="20">
        <f t="shared" ref="AV15:AV19" si="12">AU15-$AU$14</f>
        <v>-0.8097399999999999</v>
      </c>
      <c r="AW15" s="22">
        <f>AU15/$AU$14</f>
        <v>0.60882125603864734</v>
      </c>
      <c r="AX15" s="1"/>
      <c r="AY15" s="1"/>
      <c r="BA15" s="125" t="s">
        <v>87</v>
      </c>
      <c r="BB15" s="127">
        <f>BB13+ IF(AND(BB10="Yes",BB6="Yes"),(3.68*0.8),0)+ IF(BB9="Yes",(3.68*0.5),0)</f>
        <v>7.0288765712290502</v>
      </c>
      <c r="BC15" s="1"/>
      <c r="BD15" s="1"/>
      <c r="BE15" s="1"/>
      <c r="BF15" s="1"/>
      <c r="BG15" s="1"/>
      <c r="BH15" s="1"/>
      <c r="BI15" s="1"/>
      <c r="BJ15" s="1"/>
      <c r="BK15" s="1"/>
      <c r="BL15" s="1"/>
      <c r="BM15" s="1"/>
      <c r="BN15" s="1"/>
      <c r="BO15" s="1"/>
      <c r="BP15" s="1"/>
      <c r="BQ15" s="1"/>
      <c r="BR15" s="1"/>
      <c r="BS15" s="1"/>
    </row>
    <row r="16" spans="1:71" x14ac:dyDescent="0.25">
      <c r="A16" s="1"/>
      <c r="B16" s="16">
        <v>25</v>
      </c>
      <c r="C16" s="7">
        <v>1.7989999999999999</v>
      </c>
      <c r="D16" s="6">
        <v>0.34300000000000003</v>
      </c>
      <c r="E16" s="21">
        <f t="shared" ref="E16:E19" si="13">D16/C16</f>
        <v>0.19066147859922181</v>
      </c>
      <c r="F16" s="8"/>
      <c r="G16" s="8"/>
      <c r="H16" s="8"/>
      <c r="I16" s="8"/>
      <c r="J16" s="8"/>
      <c r="K16" s="17">
        <v>25</v>
      </c>
      <c r="L16" s="7">
        <f>L15/Q16</f>
        <v>4.0848765712290502</v>
      </c>
      <c r="M16" s="9">
        <v>0.67300000000000004</v>
      </c>
      <c r="N16" s="21">
        <f t="shared" ref="N16:N19" si="14">M16/L16</f>
        <v>0.16475406007127139</v>
      </c>
      <c r="O16" s="1"/>
      <c r="P16" s="7">
        <v>2.661</v>
      </c>
      <c r="Q16" s="1">
        <f>P15/P16</f>
        <v>2.152574220217963</v>
      </c>
      <c r="R16" s="1"/>
      <c r="S16" s="1"/>
      <c r="T16" s="18" t="s">
        <v>34</v>
      </c>
      <c r="U16" s="7">
        <f t="shared" ref="U16:U19" si="15">U5*0.61</f>
        <v>2.3192200000000001</v>
      </c>
      <c r="V16" s="20">
        <f t="shared" ref="V16:V19" si="16">U16-$U$14</f>
        <v>0.38922000000000012</v>
      </c>
      <c r="W16" s="22">
        <f>U16/$U$14</f>
        <v>1.2016683937823835</v>
      </c>
      <c r="X16" s="1"/>
      <c r="Y16" s="1"/>
      <c r="Z16" s="1"/>
      <c r="AA16" s="1"/>
      <c r="AB16" s="18" t="s">
        <v>34</v>
      </c>
      <c r="AC16" s="7">
        <f t="shared" ref="AC16:AC19" si="17">AC5*0.61</f>
        <v>4.3980999999999995</v>
      </c>
      <c r="AD16" s="20">
        <f t="shared" si="10"/>
        <v>0.28809999999999913</v>
      </c>
      <c r="AE16" s="22">
        <f>AC16/$AC$14</f>
        <v>1.070097323600973</v>
      </c>
      <c r="AF16" s="1"/>
      <c r="AG16" s="1"/>
      <c r="AH16" s="18" t="s">
        <v>34</v>
      </c>
      <c r="AI16" s="7">
        <f t="shared" ref="AI16:AI19" si="18">AI5*0.61</f>
        <v>2.40523</v>
      </c>
      <c r="AJ16" s="20">
        <f t="shared" si="11"/>
        <v>0.60522999999999993</v>
      </c>
      <c r="AK16" s="22">
        <f>AI16/$AI$14</f>
        <v>1.3362388888888888</v>
      </c>
      <c r="AL16" s="1"/>
      <c r="AM16" s="1"/>
      <c r="AN16" s="18" t="s">
        <v>34</v>
      </c>
      <c r="AO16" s="7">
        <f t="shared" ref="AO16:AO19" si="19">AO5*0.61</f>
        <v>2.2917700000000001</v>
      </c>
      <c r="AP16" s="20">
        <f t="shared" ref="AP16:AP19" si="20">AO16-$AO$14</f>
        <v>0.30177000000000009</v>
      </c>
      <c r="AQ16" s="22">
        <f>AO16/$AO$14</f>
        <v>1.151643216080402</v>
      </c>
      <c r="AR16" s="1"/>
      <c r="AS16" s="1"/>
      <c r="AT16" s="18" t="s">
        <v>34</v>
      </c>
      <c r="AU16" s="7">
        <f t="shared" ref="AU16:AU19" si="21">AU5*0.61</f>
        <v>2.2765200000000001</v>
      </c>
      <c r="AV16" s="20">
        <f t="shared" si="12"/>
        <v>0.20652000000000026</v>
      </c>
      <c r="AW16" s="22">
        <f>AU16/$AU$14</f>
        <v>1.0997681159420292</v>
      </c>
      <c r="AX16" s="1"/>
      <c r="AY16" s="1"/>
      <c r="AZ16" s="1"/>
      <c r="BA16" s="1"/>
      <c r="BB16" s="1"/>
      <c r="BC16" s="1"/>
      <c r="BD16" s="1"/>
      <c r="BE16" s="1"/>
      <c r="BF16" s="1"/>
      <c r="BG16" s="1"/>
      <c r="BH16" s="1"/>
      <c r="BI16" s="1"/>
      <c r="BJ16" s="1"/>
      <c r="BK16" s="1"/>
      <c r="BL16" s="1"/>
      <c r="BM16" s="1"/>
      <c r="BN16" s="1"/>
      <c r="BO16" s="1"/>
      <c r="BP16" s="1"/>
      <c r="BQ16" s="1"/>
      <c r="BR16" s="1"/>
      <c r="BS16" s="1"/>
    </row>
    <row r="17" spans="1:71" x14ac:dyDescent="0.25">
      <c r="A17" s="1"/>
      <c r="B17" s="16">
        <v>50</v>
      </c>
      <c r="C17" s="7">
        <v>1.929</v>
      </c>
      <c r="D17" s="6">
        <v>0.35799999999999998</v>
      </c>
      <c r="E17" s="21">
        <f t="shared" si="13"/>
        <v>0.18558838776568168</v>
      </c>
      <c r="F17" s="8"/>
      <c r="G17" s="8"/>
      <c r="H17" s="8"/>
      <c r="I17" s="8"/>
      <c r="J17" s="8"/>
      <c r="K17" s="17">
        <v>50</v>
      </c>
      <c r="L17" s="7">
        <f t="shared" ref="L17:L19" si="22">L16/Q17</f>
        <v>3.3879453561452508</v>
      </c>
      <c r="M17" s="9">
        <v>0.38700000000000001</v>
      </c>
      <c r="N17" s="21">
        <f t="shared" si="14"/>
        <v>0.11422852476001039</v>
      </c>
      <c r="O17" s="1"/>
      <c r="P17" s="7">
        <v>2.2069999999999999</v>
      </c>
      <c r="Q17" s="1">
        <f t="shared" ref="Q17:Q19" si="23">P16/P17</f>
        <v>1.2057091073855914</v>
      </c>
      <c r="R17" s="1"/>
      <c r="S17" s="1"/>
      <c r="T17" s="18" t="s">
        <v>35</v>
      </c>
      <c r="U17" s="7">
        <f t="shared" si="15"/>
        <v>3.3154230984743402</v>
      </c>
      <c r="V17" s="20">
        <f t="shared" si="16"/>
        <v>1.3854230984743403</v>
      </c>
      <c r="W17" s="22">
        <f t="shared" ref="W17:W19" si="24">U17/$U$14</f>
        <v>1.7178358023183111</v>
      </c>
      <c r="X17" s="1"/>
      <c r="Y17" s="1"/>
      <c r="Z17" s="1"/>
      <c r="AA17" s="1"/>
      <c r="AB17" s="18" t="s">
        <v>35</v>
      </c>
      <c r="AC17" s="7">
        <f t="shared" si="17"/>
        <v>6.2872699999999986</v>
      </c>
      <c r="AD17" s="20">
        <f t="shared" si="10"/>
        <v>2.1772699999999983</v>
      </c>
      <c r="AE17" s="22">
        <f t="shared" ref="AE17:AE19" si="25">AC17/$AC$14</f>
        <v>1.5297493917274934</v>
      </c>
      <c r="AF17" s="1"/>
      <c r="AG17" s="1"/>
      <c r="AH17" s="18" t="s">
        <v>35</v>
      </c>
      <c r="AI17" s="7">
        <f t="shared" si="18"/>
        <v>3.4383780319001382</v>
      </c>
      <c r="AJ17" s="20">
        <f t="shared" si="11"/>
        <v>1.6383780319001382</v>
      </c>
      <c r="AK17" s="22">
        <f t="shared" ref="AK17:AK19" si="26">AI17/$AI$14</f>
        <v>1.9102100177222989</v>
      </c>
      <c r="AL17" s="1"/>
      <c r="AM17" s="1"/>
      <c r="AN17" s="18" t="s">
        <v>35</v>
      </c>
      <c r="AO17" s="7">
        <f t="shared" si="19"/>
        <v>3.2761821622746181</v>
      </c>
      <c r="AP17" s="20">
        <f t="shared" si="20"/>
        <v>1.2861821622746181</v>
      </c>
      <c r="AQ17" s="22">
        <f>AO17/$AO$14</f>
        <v>1.6463226946103608</v>
      </c>
      <c r="AR17" s="1"/>
      <c r="AS17" s="1"/>
      <c r="AT17" s="18" t="s">
        <v>35</v>
      </c>
      <c r="AU17" s="7">
        <f t="shared" si="21"/>
        <v>3.2543816421636609</v>
      </c>
      <c r="AV17" s="20">
        <f t="shared" si="12"/>
        <v>1.184381642163661</v>
      </c>
      <c r="AW17" s="22">
        <f>AU17/$AU$14</f>
        <v>1.5721650445235078</v>
      </c>
      <c r="AX17" s="1"/>
      <c r="AY17" s="1"/>
      <c r="AZ17" s="1"/>
      <c r="BA17" s="125" t="s">
        <v>126</v>
      </c>
      <c r="BB17" s="128">
        <f>IF(AND(BB11="Yes",BB5=7.36,BB7="No",BB6= "Yes"),(BB15-3.5),BB15)</f>
        <v>7.0288765712290502</v>
      </c>
      <c r="BC17" s="1"/>
      <c r="BD17" s="1"/>
      <c r="BE17" s="1"/>
      <c r="BF17" s="1"/>
      <c r="BG17" s="1"/>
      <c r="BH17" s="1"/>
      <c r="BI17" s="1"/>
      <c r="BJ17" s="1"/>
      <c r="BK17" s="1"/>
      <c r="BL17" s="1"/>
      <c r="BM17" s="1"/>
      <c r="BN17" s="1"/>
      <c r="BO17" s="1"/>
      <c r="BP17" s="1"/>
      <c r="BQ17" s="1"/>
      <c r="BR17" s="1"/>
      <c r="BS17" s="1"/>
    </row>
    <row r="18" spans="1:71" x14ac:dyDescent="0.25">
      <c r="A18" s="1"/>
      <c r="B18" s="16">
        <v>75</v>
      </c>
      <c r="C18" s="7">
        <v>1.9930000000000001</v>
      </c>
      <c r="D18" s="6">
        <v>0.311</v>
      </c>
      <c r="E18" s="21">
        <f t="shared" si="13"/>
        <v>0.15604616156547918</v>
      </c>
      <c r="F18" s="8"/>
      <c r="G18" s="8"/>
      <c r="H18" s="8"/>
      <c r="I18" s="8"/>
      <c r="J18" s="8"/>
      <c r="K18" s="17">
        <v>75</v>
      </c>
      <c r="L18" s="7">
        <f t="shared" si="22"/>
        <v>3.1438659217877092</v>
      </c>
      <c r="M18" s="9">
        <v>0.221</v>
      </c>
      <c r="N18" s="21">
        <f t="shared" si="14"/>
        <v>7.0295618673945195E-2</v>
      </c>
      <c r="O18" s="1"/>
      <c r="P18" s="7">
        <v>2.048</v>
      </c>
      <c r="Q18" s="1">
        <f t="shared" si="23"/>
        <v>1.07763671875</v>
      </c>
      <c r="R18" s="1"/>
      <c r="S18" s="1"/>
      <c r="T18" s="18" t="s">
        <v>36</v>
      </c>
      <c r="U18" s="7">
        <f t="shared" si="15"/>
        <v>2.066646667248603</v>
      </c>
      <c r="V18" s="20">
        <f t="shared" si="16"/>
        <v>0.13664666724860308</v>
      </c>
      <c r="W18" s="22">
        <f t="shared" si="24"/>
        <v>1.0708013819940949</v>
      </c>
      <c r="X18" s="1"/>
      <c r="Y18" s="1"/>
      <c r="Z18" s="1"/>
      <c r="AA18" s="1"/>
      <c r="AB18" s="18" t="s">
        <v>36</v>
      </c>
      <c r="AC18" s="7">
        <f t="shared" si="17"/>
        <v>5.3637299999999994</v>
      </c>
      <c r="AD18" s="20">
        <f t="shared" si="10"/>
        <v>1.2537299999999991</v>
      </c>
      <c r="AE18" s="22">
        <f t="shared" si="25"/>
        <v>1.3050437956204377</v>
      </c>
      <c r="AF18" s="1"/>
      <c r="AG18" s="1"/>
      <c r="AH18" s="18" t="s">
        <v>36</v>
      </c>
      <c r="AI18" s="7">
        <f t="shared" si="18"/>
        <v>2.4917747084497206</v>
      </c>
      <c r="AJ18" s="20">
        <f t="shared" si="11"/>
        <v>0.69177470844972055</v>
      </c>
      <c r="AK18" s="22">
        <f>AI18/$AI$14</f>
        <v>1.3843192824720669</v>
      </c>
      <c r="AL18" s="1"/>
      <c r="AM18" s="1"/>
      <c r="AN18" s="18" t="s">
        <v>36</v>
      </c>
      <c r="AO18" s="7">
        <f t="shared" si="19"/>
        <v>1.9177582122905026</v>
      </c>
      <c r="AP18" s="20">
        <f t="shared" si="20"/>
        <v>-7.2241787709497407E-2</v>
      </c>
      <c r="AQ18" s="22">
        <f>AO18/$AO$14</f>
        <v>0.96369759411583045</v>
      </c>
      <c r="AR18" s="1"/>
      <c r="AS18" s="1"/>
      <c r="AT18" s="18" t="s">
        <v>36</v>
      </c>
      <c r="AU18" s="7">
        <f t="shared" si="21"/>
        <v>1.8540826466480445</v>
      </c>
      <c r="AV18" s="20">
        <f t="shared" si="12"/>
        <v>-0.21591735335195539</v>
      </c>
      <c r="AW18" s="22">
        <f>AU18/$AU$14</f>
        <v>0.89569209982997322</v>
      </c>
      <c r="AX18" s="1"/>
      <c r="AY18" s="1"/>
      <c r="AZ18" s="1"/>
      <c r="BA18" s="1"/>
      <c r="BB18" s="1"/>
      <c r="BC18" s="1"/>
      <c r="BD18" s="1"/>
      <c r="BF18" s="1"/>
      <c r="BG18" s="1"/>
      <c r="BH18" s="1"/>
      <c r="BI18" s="1"/>
      <c r="BJ18" s="1"/>
      <c r="BK18" s="1"/>
      <c r="BL18" s="1"/>
      <c r="BM18" s="1"/>
      <c r="BN18" s="1"/>
      <c r="BO18" s="1"/>
      <c r="BP18" s="1"/>
      <c r="BQ18" s="1"/>
      <c r="BR18" s="1"/>
      <c r="BS18" s="1"/>
    </row>
    <row r="19" spans="1:71" x14ac:dyDescent="0.25">
      <c r="A19" s="1"/>
      <c r="B19" s="16">
        <v>100</v>
      </c>
      <c r="C19" s="7">
        <v>2.0659999999999998</v>
      </c>
      <c r="D19" s="6">
        <v>0.22900000000000001</v>
      </c>
      <c r="E19" s="21">
        <f t="shared" si="13"/>
        <v>0.11084220716360117</v>
      </c>
      <c r="F19" s="8"/>
      <c r="G19" s="8"/>
      <c r="H19" s="8"/>
      <c r="I19" s="8"/>
      <c r="J19" s="8"/>
      <c r="K19" s="17">
        <v>100</v>
      </c>
      <c r="L19" s="7">
        <f t="shared" si="22"/>
        <v>3.0394797486033518</v>
      </c>
      <c r="M19" s="9">
        <v>0.128</v>
      </c>
      <c r="N19" s="21">
        <f t="shared" si="14"/>
        <v>4.211247008926982E-2</v>
      </c>
      <c r="O19" s="1"/>
      <c r="P19" s="7">
        <v>1.98</v>
      </c>
      <c r="Q19" s="1">
        <f t="shared" si="23"/>
        <v>1.0343434343434343</v>
      </c>
      <c r="R19" s="1"/>
      <c r="S19" s="1"/>
      <c r="T19" s="18" t="s">
        <v>58</v>
      </c>
      <c r="U19" s="7">
        <f t="shared" si="15"/>
        <v>4.4001902557678569</v>
      </c>
      <c r="V19" s="20">
        <f t="shared" si="16"/>
        <v>2.4701902557678572</v>
      </c>
      <c r="W19" s="22">
        <f t="shared" si="24"/>
        <v>2.2798913242320502</v>
      </c>
      <c r="X19" s="1"/>
      <c r="Y19" s="1"/>
      <c r="Z19" s="1"/>
      <c r="AA19" s="1"/>
      <c r="AB19" s="18" t="s">
        <v>58</v>
      </c>
      <c r="AC19" s="7">
        <f t="shared" si="17"/>
        <v>9.8221711999999997</v>
      </c>
      <c r="AD19" s="20">
        <f t="shared" si="10"/>
        <v>5.7121711999999993</v>
      </c>
      <c r="AE19" s="22">
        <f t="shared" si="25"/>
        <v>2.3898226763990267</v>
      </c>
      <c r="AF19" s="1"/>
      <c r="AG19" s="1"/>
      <c r="AH19" s="18" t="s">
        <v>58</v>
      </c>
      <c r="AI19" s="7">
        <f t="shared" si="18"/>
        <v>4.9343620261358119</v>
      </c>
      <c r="AJ19" s="20">
        <f t="shared" si="11"/>
        <v>3.1343620261358121</v>
      </c>
      <c r="AK19" s="22">
        <f t="shared" si="26"/>
        <v>2.7413122367421177</v>
      </c>
      <c r="AL19" s="1"/>
      <c r="AM19" s="1"/>
      <c r="AN19" s="18" t="s">
        <v>58</v>
      </c>
      <c r="AO19" s="7">
        <f t="shared" si="19"/>
        <v>4.2114854673430484</v>
      </c>
      <c r="AP19" s="20">
        <f t="shared" si="20"/>
        <v>2.2214854673430482</v>
      </c>
      <c r="AQ19" s="22">
        <f>AO19/$AO$14</f>
        <v>2.1163243554487678</v>
      </c>
      <c r="AR19" s="1"/>
      <c r="AS19" s="1"/>
      <c r="AT19" s="18" t="s">
        <v>58</v>
      </c>
      <c r="AU19" s="7">
        <f t="shared" si="21"/>
        <v>4.1267989002206376</v>
      </c>
      <c r="AV19" s="20">
        <f t="shared" si="12"/>
        <v>2.0567989002206377</v>
      </c>
      <c r="AW19" s="22">
        <f>AU19/$AU$14</f>
        <v>1.9936226571114193</v>
      </c>
      <c r="AX19" s="1"/>
      <c r="AY19" s="1"/>
      <c r="AZ19" s="1"/>
      <c r="BA19" s="1"/>
      <c r="BB19" s="1"/>
      <c r="BC19" s="1"/>
      <c r="BD19" s="1"/>
      <c r="BE19" s="1"/>
      <c r="BF19" s="1"/>
      <c r="BG19" s="1"/>
      <c r="BH19" s="1"/>
      <c r="BI19" s="1"/>
      <c r="BJ19" s="1"/>
      <c r="BK19" s="1"/>
      <c r="BL19" s="1"/>
      <c r="BM19" s="1"/>
      <c r="BN19" s="1"/>
      <c r="BO19" s="1"/>
      <c r="BP19" s="1"/>
      <c r="BQ19" s="1"/>
      <c r="BR19" s="1"/>
      <c r="BS19" s="1"/>
    </row>
    <row r="20" spans="1:71" x14ac:dyDescent="0.25">
      <c r="A20" s="1"/>
      <c r="B20" s="8"/>
      <c r="C20" s="8"/>
      <c r="D20" s="8"/>
      <c r="E20" s="8"/>
      <c r="F20" s="8"/>
      <c r="G20" s="8"/>
      <c r="H20" s="8"/>
      <c r="I20" s="8"/>
      <c r="J20" s="8"/>
      <c r="K20" s="12"/>
      <c r="L20" s="12"/>
      <c r="M20" s="12"/>
      <c r="N20" s="1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x14ac:dyDescent="0.25">
      <c r="A21" s="1"/>
      <c r="B21" s="8" t="s">
        <v>6</v>
      </c>
      <c r="C21" s="8"/>
      <c r="D21" s="8"/>
      <c r="E21" s="8"/>
      <c r="F21" s="8"/>
      <c r="G21" s="8"/>
      <c r="H21" s="8"/>
      <c r="I21" s="8"/>
      <c r="J21" s="1"/>
      <c r="K21" s="474" t="s">
        <v>205</v>
      </c>
      <c r="L21" s="474"/>
      <c r="M21" s="474"/>
      <c r="N21" s="474"/>
      <c r="P21" s="1"/>
      <c r="Q21" s="1"/>
      <c r="R21" s="1"/>
      <c r="S21" s="1"/>
      <c r="T21" s="19" t="s">
        <v>23</v>
      </c>
      <c r="U21" s="19" t="s">
        <v>8</v>
      </c>
      <c r="V21" s="19" t="s">
        <v>12</v>
      </c>
      <c r="W21" s="19" t="s">
        <v>13</v>
      </c>
      <c r="X21" s="1"/>
      <c r="Y21" s="1"/>
      <c r="Z21" s="1"/>
      <c r="AA21" s="1"/>
      <c r="AB21" s="19" t="s">
        <v>32</v>
      </c>
      <c r="AC21" s="19" t="s">
        <v>8</v>
      </c>
      <c r="AD21" s="19" t="s">
        <v>12</v>
      </c>
      <c r="AE21" s="19" t="s">
        <v>13</v>
      </c>
      <c r="AF21" s="1"/>
      <c r="AG21" s="1"/>
      <c r="AH21" s="19" t="s">
        <v>44</v>
      </c>
      <c r="AI21" s="19" t="s">
        <v>8</v>
      </c>
      <c r="AJ21" s="19" t="s">
        <v>12</v>
      </c>
      <c r="AK21" s="19" t="s">
        <v>13</v>
      </c>
      <c r="AL21" s="1"/>
      <c r="AM21" s="1"/>
      <c r="AN21" s="19" t="s">
        <v>46</v>
      </c>
      <c r="AO21" s="19" t="s">
        <v>8</v>
      </c>
      <c r="AP21" s="19" t="s">
        <v>12</v>
      </c>
      <c r="AQ21" s="19" t="s">
        <v>13</v>
      </c>
      <c r="AR21" s="1"/>
      <c r="AS21" s="1"/>
      <c r="AT21" s="19" t="s">
        <v>48</v>
      </c>
      <c r="AU21" s="19" t="s">
        <v>8</v>
      </c>
      <c r="AV21" s="19" t="s">
        <v>12</v>
      </c>
      <c r="AW21" s="19" t="s">
        <v>13</v>
      </c>
      <c r="AX21" s="1"/>
      <c r="AY21" s="1"/>
      <c r="AZ21" s="1"/>
      <c r="BA21" s="1"/>
      <c r="BB21" s="1"/>
      <c r="BC21" s="1"/>
      <c r="BD21" s="1"/>
      <c r="BE21" s="1"/>
      <c r="BF21" s="1"/>
      <c r="BG21" s="1"/>
      <c r="BH21" s="1"/>
      <c r="BI21" s="1"/>
      <c r="BJ21" s="1"/>
      <c r="BK21" s="1"/>
      <c r="BL21" s="1"/>
      <c r="BM21" s="1"/>
      <c r="BN21" s="1"/>
      <c r="BO21" s="1"/>
      <c r="BP21" s="1"/>
      <c r="BQ21" s="1"/>
      <c r="BR21" s="1"/>
      <c r="BS21" s="1"/>
    </row>
    <row r="22" spans="1:71" x14ac:dyDescent="0.25">
      <c r="A22" s="1"/>
      <c r="B22" s="11" t="s">
        <v>0</v>
      </c>
      <c r="C22" s="11" t="s">
        <v>1</v>
      </c>
      <c r="D22" s="11" t="s">
        <v>2</v>
      </c>
      <c r="E22" s="11" t="s">
        <v>3</v>
      </c>
      <c r="F22" s="8"/>
      <c r="G22" s="8"/>
      <c r="H22" s="8"/>
      <c r="I22" s="8"/>
      <c r="J22" s="1"/>
      <c r="K22" s="15" t="s">
        <v>0</v>
      </c>
      <c r="L22" s="15" t="s">
        <v>1</v>
      </c>
      <c r="M22" s="15" t="s">
        <v>2</v>
      </c>
      <c r="N22" s="15" t="s">
        <v>3</v>
      </c>
      <c r="O22" s="475" t="s">
        <v>93</v>
      </c>
      <c r="P22" s="1"/>
      <c r="Q22" s="1"/>
      <c r="R22" s="1"/>
      <c r="S22" s="1"/>
      <c r="T22" s="18" t="s">
        <v>21</v>
      </c>
      <c r="U22" s="7">
        <v>1.93</v>
      </c>
      <c r="V22" s="20">
        <v>0</v>
      </c>
      <c r="W22" s="22">
        <v>0</v>
      </c>
      <c r="X22" s="1"/>
      <c r="Y22" s="1"/>
      <c r="Z22" s="1"/>
      <c r="AA22" s="1"/>
      <c r="AB22" s="18" t="s">
        <v>21</v>
      </c>
      <c r="AC22" s="7">
        <v>4.1100000000000003</v>
      </c>
      <c r="AD22" s="20">
        <v>0</v>
      </c>
      <c r="AE22" s="22">
        <v>0</v>
      </c>
      <c r="AF22" s="1"/>
      <c r="AG22" s="1"/>
      <c r="AH22" s="18" t="s">
        <v>21</v>
      </c>
      <c r="AI22" s="7">
        <v>1.8</v>
      </c>
      <c r="AJ22" s="20">
        <v>0</v>
      </c>
      <c r="AK22" s="22">
        <v>0</v>
      </c>
      <c r="AL22" s="1"/>
      <c r="AM22" s="1"/>
      <c r="AN22" s="18" t="s">
        <v>21</v>
      </c>
      <c r="AO22" s="7">
        <v>1.99</v>
      </c>
      <c r="AP22" s="20">
        <v>0</v>
      </c>
      <c r="AQ22" s="22">
        <v>0</v>
      </c>
      <c r="AR22" s="1"/>
      <c r="AS22" s="1"/>
      <c r="AT22" s="18" t="s">
        <v>21</v>
      </c>
      <c r="AU22" s="7">
        <v>2.0699999999999998</v>
      </c>
      <c r="AV22" s="20">
        <v>0</v>
      </c>
      <c r="AW22" s="22">
        <v>0</v>
      </c>
      <c r="AX22" s="1"/>
      <c r="AY22" s="1"/>
      <c r="AZ22" s="1"/>
      <c r="BA22" s="1"/>
      <c r="BB22" s="1"/>
      <c r="BC22" s="1"/>
      <c r="BD22" s="1"/>
      <c r="BE22" s="1"/>
      <c r="BF22" s="1"/>
      <c r="BG22" s="1"/>
      <c r="BH22" s="1"/>
      <c r="BI22" s="1"/>
      <c r="BJ22" s="1"/>
      <c r="BK22" s="1"/>
      <c r="BL22" s="1"/>
      <c r="BM22" s="1"/>
      <c r="BN22" s="1"/>
      <c r="BO22" s="1"/>
      <c r="BP22" s="1"/>
      <c r="BQ22" s="1"/>
      <c r="BR22" s="1"/>
      <c r="BS22" s="1"/>
    </row>
    <row r="23" spans="1:71" x14ac:dyDescent="0.25">
      <c r="A23" s="1"/>
      <c r="B23" s="16">
        <v>1</v>
      </c>
      <c r="C23" s="7">
        <v>7.21</v>
      </c>
      <c r="D23" s="6">
        <v>0.9</v>
      </c>
      <c r="E23" s="21">
        <f>D23/C23</f>
        <v>0.12482662968099861</v>
      </c>
      <c r="F23" s="8"/>
      <c r="G23" s="8"/>
      <c r="H23" s="8"/>
      <c r="I23" s="8"/>
      <c r="J23" s="1"/>
      <c r="K23" s="17">
        <v>1</v>
      </c>
      <c r="L23" s="7">
        <f>L15+7.36*$K$44*1.18</f>
        <v>16.10192</v>
      </c>
      <c r="M23" s="9">
        <f>L23*N23</f>
        <v>2.8178822884740149</v>
      </c>
      <c r="N23" s="21">
        <f>(N15+E23)/2</f>
        <v>0.17500287471767434</v>
      </c>
      <c r="O23" s="475"/>
      <c r="P23" s="1"/>
      <c r="Q23" s="1"/>
      <c r="R23" s="1"/>
      <c r="S23" s="1"/>
      <c r="T23" s="18" t="s">
        <v>28</v>
      </c>
      <c r="U23" s="7">
        <f>U15*0.97</f>
        <v>1.1413892999999999</v>
      </c>
      <c r="V23" s="20">
        <f>U23-$U$22</f>
        <v>-0.7886107</v>
      </c>
      <c r="W23" s="22">
        <f>U23/$U$14</f>
        <v>0.59139341968911918</v>
      </c>
      <c r="X23" s="1"/>
      <c r="Y23" s="1"/>
      <c r="Z23" s="1"/>
      <c r="AA23" s="1"/>
      <c r="AB23" s="18" t="s">
        <v>28</v>
      </c>
      <c r="AC23" s="7">
        <f>AC15*0.97</f>
        <v>2.4336621000000003</v>
      </c>
      <c r="AD23" s="20">
        <f t="shared" ref="AD23:AD27" si="27">AC23-$AC$14</f>
        <v>-1.6763379</v>
      </c>
      <c r="AE23" s="22">
        <f>AC23/$AC$14</f>
        <v>0.59213189781021902</v>
      </c>
      <c r="AF23" s="1"/>
      <c r="AG23" s="1"/>
      <c r="AH23" s="18" t="s">
        <v>28</v>
      </c>
      <c r="AI23" s="7">
        <f>AI15*0.97</f>
        <v>1.0644682999999999</v>
      </c>
      <c r="AJ23" s="20">
        <f>AI23-$AI$14</f>
        <v>-0.73553170000000012</v>
      </c>
      <c r="AK23" s="22">
        <f>AI23/$AI$14</f>
        <v>0.59137127777777776</v>
      </c>
      <c r="AL23" s="1"/>
      <c r="AM23" s="1"/>
      <c r="AN23" s="18" t="s">
        <v>28</v>
      </c>
      <c r="AO23" s="7">
        <f>AO15*0.97</f>
        <v>1.1792581</v>
      </c>
      <c r="AP23" s="20">
        <f>AO23-$AO$14</f>
        <v>-0.81074190000000002</v>
      </c>
      <c r="AQ23" s="22">
        <f>AO23/$AO$14</f>
        <v>0.59259201005025119</v>
      </c>
      <c r="AR23" s="1"/>
      <c r="AS23" s="1"/>
      <c r="AT23" s="18" t="s">
        <v>28</v>
      </c>
      <c r="AU23" s="7">
        <f>AU15*0.97</f>
        <v>1.2224522</v>
      </c>
      <c r="AV23" s="20">
        <f>AU23-$AU$14</f>
        <v>-0.84754779999999985</v>
      </c>
      <c r="AW23" s="22">
        <f>AU23/$AO$14</f>
        <v>0.61429758793969846</v>
      </c>
      <c r="AX23" s="1"/>
      <c r="AY23" s="1"/>
      <c r="AZ23" s="1"/>
      <c r="BB23" s="1"/>
      <c r="BC23" s="1"/>
      <c r="BD23" s="1"/>
      <c r="BE23" s="1"/>
      <c r="BF23" s="1"/>
      <c r="BG23" s="1"/>
      <c r="BH23" s="1"/>
      <c r="BI23" s="1"/>
      <c r="BJ23" s="1"/>
      <c r="BK23" s="1"/>
      <c r="BL23" s="1"/>
      <c r="BM23" s="1"/>
      <c r="BN23" s="1"/>
      <c r="BO23" s="1"/>
      <c r="BP23" s="1"/>
      <c r="BQ23" s="1"/>
      <c r="BR23" s="1"/>
      <c r="BS23" s="1"/>
    </row>
    <row r="24" spans="1:71" x14ac:dyDescent="0.25">
      <c r="A24" s="1"/>
      <c r="B24" s="16">
        <v>25</v>
      </c>
      <c r="C24" s="7">
        <v>3.9430000000000001</v>
      </c>
      <c r="D24" s="6">
        <v>0.36299999999999999</v>
      </c>
      <c r="E24" s="21">
        <f t="shared" ref="E24:E27" si="28">D24/C24</f>
        <v>9.2061881815876226E-2</v>
      </c>
      <c r="F24" s="8"/>
      <c r="G24" s="8"/>
      <c r="H24" s="8"/>
      <c r="I24" s="8"/>
      <c r="J24" s="1"/>
      <c r="K24" s="17">
        <v>25</v>
      </c>
      <c r="L24" s="7">
        <f>L23/H46</f>
        <v>8.089118075632479</v>
      </c>
      <c r="M24" s="9">
        <f>L24*N24</f>
        <v>1.038707238814953</v>
      </c>
      <c r="N24" s="21">
        <f>(N16+E24)/2</f>
        <v>0.12840797094357381</v>
      </c>
      <c r="O24" s="475"/>
      <c r="P24" s="1"/>
      <c r="Q24" s="1"/>
      <c r="R24" s="1"/>
      <c r="S24" s="1"/>
      <c r="T24" s="18" t="s">
        <v>25</v>
      </c>
      <c r="U24" s="7">
        <f t="shared" ref="U24:U27" si="29">U16*0.97</f>
        <v>2.2496434000000001</v>
      </c>
      <c r="V24" s="20">
        <f t="shared" ref="V24:V27" si="30">U24-$U$22</f>
        <v>0.31964340000000013</v>
      </c>
      <c r="W24" s="22">
        <f>U24/$U$14</f>
        <v>1.1656183419689119</v>
      </c>
      <c r="X24" s="1"/>
      <c r="Y24" s="1"/>
      <c r="Z24" s="1"/>
      <c r="AA24" s="1"/>
      <c r="AB24" s="18" t="s">
        <v>25</v>
      </c>
      <c r="AC24" s="7">
        <f t="shared" ref="AC24:AC27" si="31">AC16*0.97</f>
        <v>4.2661569999999998</v>
      </c>
      <c r="AD24" s="20">
        <f t="shared" si="27"/>
        <v>0.15615699999999944</v>
      </c>
      <c r="AE24" s="22">
        <f>AC24/$AC$14</f>
        <v>1.0379944038929438</v>
      </c>
      <c r="AF24" s="1"/>
      <c r="AG24" s="1"/>
      <c r="AH24" s="18" t="s">
        <v>25</v>
      </c>
      <c r="AI24" s="7">
        <f t="shared" ref="AI24:AI27" si="32">AI16*0.97</f>
        <v>2.3330731</v>
      </c>
      <c r="AJ24" s="20">
        <f t="shared" ref="AJ24:AJ27" si="33">AI24-$AI$14</f>
        <v>0.53307309999999997</v>
      </c>
      <c r="AK24" s="22">
        <f>AI24/$AI$14</f>
        <v>1.2961517222222223</v>
      </c>
      <c r="AL24" s="1"/>
      <c r="AM24" s="1"/>
      <c r="AN24" s="18" t="s">
        <v>25</v>
      </c>
      <c r="AO24" s="7">
        <f t="shared" ref="AO24:AO27" si="34">AO16*0.97</f>
        <v>2.2230169000000002</v>
      </c>
      <c r="AP24" s="20">
        <f t="shared" ref="AP24:AP27" si="35">AO24-$AO$14</f>
        <v>0.23301690000000019</v>
      </c>
      <c r="AQ24" s="22">
        <f>AO24/$AO$14</f>
        <v>1.1170939195979901</v>
      </c>
      <c r="AR24" s="1"/>
      <c r="AS24" s="1"/>
      <c r="AT24" s="18" t="s">
        <v>25</v>
      </c>
      <c r="AU24" s="7">
        <f t="shared" ref="AU24:AU27" si="36">AU16*0.97</f>
        <v>2.2082244000000002</v>
      </c>
      <c r="AV24" s="20">
        <f t="shared" ref="AV24:AV27" si="37">AU24-$AU$14</f>
        <v>0.13822440000000036</v>
      </c>
      <c r="AW24" s="22">
        <f>AU24/$AO$14</f>
        <v>1.109660502512563</v>
      </c>
      <c r="AX24" s="1"/>
      <c r="AY24" s="1"/>
      <c r="AZ24" s="1"/>
      <c r="BA24" s="1"/>
      <c r="BB24" s="1"/>
      <c r="BC24" s="1"/>
      <c r="BD24" s="1"/>
      <c r="BE24" s="1"/>
      <c r="BF24" s="1"/>
      <c r="BG24" s="1"/>
      <c r="BH24" s="1"/>
      <c r="BI24" s="1"/>
      <c r="BJ24" s="1"/>
      <c r="BK24" s="1"/>
      <c r="BL24" s="1"/>
      <c r="BM24" s="1"/>
      <c r="BN24" s="1"/>
      <c r="BO24" s="1"/>
      <c r="BP24" s="1"/>
      <c r="BQ24" s="1"/>
      <c r="BR24" s="1"/>
      <c r="BS24" s="1"/>
    </row>
    <row r="25" spans="1:71" ht="15" customHeight="1" x14ac:dyDescent="0.25">
      <c r="A25" s="1"/>
      <c r="B25" s="16">
        <v>50</v>
      </c>
      <c r="C25" s="7">
        <v>3.802</v>
      </c>
      <c r="D25" s="6">
        <v>0.15</v>
      </c>
      <c r="E25" s="21">
        <f t="shared" si="28"/>
        <v>3.9452919516044183E-2</v>
      </c>
      <c r="F25" s="8"/>
      <c r="G25" s="8"/>
      <c r="H25" s="8"/>
      <c r="I25" s="8"/>
      <c r="J25" s="1"/>
      <c r="K25" s="17">
        <v>50</v>
      </c>
      <c r="L25" s="7">
        <f>L24/H47</f>
        <v>7.213426648799766</v>
      </c>
      <c r="M25" s="9">
        <f t="shared" ref="M25:M27" si="38">L25*N25</f>
        <v>0.55428491278346415</v>
      </c>
      <c r="N25" s="21">
        <f>(N17+E25)/2</f>
        <v>7.6840722138027284E-2</v>
      </c>
      <c r="O25" s="475"/>
      <c r="P25" s="1"/>
      <c r="Q25" s="1"/>
      <c r="R25" s="1"/>
      <c r="S25" s="1"/>
      <c r="T25" s="18" t="s">
        <v>26</v>
      </c>
      <c r="U25" s="7">
        <f t="shared" si="29"/>
        <v>3.2159604055201099</v>
      </c>
      <c r="V25" s="20">
        <f t="shared" si="30"/>
        <v>1.2859604055201099</v>
      </c>
      <c r="W25" s="22">
        <f t="shared" ref="W25:W27" si="39">U25/$U$14</f>
        <v>1.6663007282487616</v>
      </c>
      <c r="X25" s="1"/>
      <c r="Y25" s="1"/>
      <c r="Z25" s="1"/>
      <c r="AA25" s="1"/>
      <c r="AB25" s="18" t="s">
        <v>26</v>
      </c>
      <c r="AC25" s="7">
        <f t="shared" si="31"/>
        <v>6.0986518999999983</v>
      </c>
      <c r="AD25" s="20">
        <f t="shared" si="27"/>
        <v>1.988651899999998</v>
      </c>
      <c r="AE25" s="22">
        <f t="shared" ref="AE25:AE27" si="40">AC25/$AC$14</f>
        <v>1.4838569099756687</v>
      </c>
      <c r="AF25" s="1"/>
      <c r="AG25" s="1"/>
      <c r="AH25" s="18" t="s">
        <v>26</v>
      </c>
      <c r="AI25" s="7">
        <f t="shared" si="32"/>
        <v>3.3352266909431338</v>
      </c>
      <c r="AJ25" s="20">
        <f t="shared" si="33"/>
        <v>1.5352266909431338</v>
      </c>
      <c r="AK25" s="22">
        <f>AI25/$AI$14</f>
        <v>1.85290371719063</v>
      </c>
      <c r="AL25" s="1"/>
      <c r="AM25" s="1"/>
      <c r="AN25" s="18" t="s">
        <v>26</v>
      </c>
      <c r="AO25" s="7">
        <f t="shared" si="34"/>
        <v>3.1778966974063794</v>
      </c>
      <c r="AP25" s="20">
        <f t="shared" si="35"/>
        <v>1.1878966974063794</v>
      </c>
      <c r="AQ25" s="22">
        <f>AO25/$AO$14</f>
        <v>1.5969330137720499</v>
      </c>
      <c r="AR25" s="1"/>
      <c r="AS25" s="1"/>
      <c r="AT25" s="18" t="s">
        <v>26</v>
      </c>
      <c r="AU25" s="7">
        <f t="shared" si="36"/>
        <v>3.1567501928987509</v>
      </c>
      <c r="AV25" s="20">
        <f t="shared" si="37"/>
        <v>1.0867501928987511</v>
      </c>
      <c r="AW25" s="22">
        <f>AU25/$AO$14</f>
        <v>1.5863066295973622</v>
      </c>
      <c r="AX25" s="1"/>
      <c r="AY25" s="1"/>
      <c r="AZ25" s="1"/>
      <c r="BA25" s="1"/>
      <c r="BB25" s="1"/>
      <c r="BC25" s="1"/>
      <c r="BD25" s="1"/>
      <c r="BE25" s="1"/>
      <c r="BF25" s="1"/>
      <c r="BG25" s="1"/>
      <c r="BH25" s="1"/>
      <c r="BI25" s="1"/>
      <c r="BJ25" s="1"/>
      <c r="BK25" s="1"/>
      <c r="BL25" s="1"/>
      <c r="BM25" s="1"/>
      <c r="BN25" s="1"/>
      <c r="BO25" s="1"/>
      <c r="BP25" s="1"/>
      <c r="BQ25" s="1"/>
      <c r="BR25" s="1"/>
      <c r="BS25" s="1"/>
    </row>
    <row r="26" spans="1:71" x14ac:dyDescent="0.25">
      <c r="A26" s="1"/>
      <c r="B26" s="16">
        <v>75</v>
      </c>
      <c r="C26" s="7">
        <v>3.7570000000000001</v>
      </c>
      <c r="D26" s="6">
        <v>8.6999999999999994E-2</v>
      </c>
      <c r="E26" s="21">
        <f t="shared" si="28"/>
        <v>2.3156774021825921E-2</v>
      </c>
      <c r="F26" s="8"/>
      <c r="G26" s="8"/>
      <c r="H26" s="8"/>
      <c r="I26" s="8"/>
      <c r="J26" s="1"/>
      <c r="K26" s="17">
        <v>75</v>
      </c>
      <c r="L26" s="7">
        <f>L25/H48</f>
        <v>6.9040745366279479</v>
      </c>
      <c r="M26" s="9">
        <f t="shared" si="38"/>
        <v>0.32260114239891452</v>
      </c>
      <c r="N26" s="21">
        <f>(N18+E26)/2</f>
        <v>4.6726196347885558E-2</v>
      </c>
      <c r="O26" s="475"/>
      <c r="P26" s="1"/>
      <c r="Q26" s="1"/>
      <c r="R26" s="1"/>
      <c r="S26" s="1"/>
      <c r="T26" s="18" t="s">
        <v>27</v>
      </c>
      <c r="U26" s="7">
        <f t="shared" si="29"/>
        <v>2.0046472672311451</v>
      </c>
      <c r="V26" s="20">
        <f t="shared" si="30"/>
        <v>7.464726723114512E-2</v>
      </c>
      <c r="W26" s="22">
        <f t="shared" si="39"/>
        <v>1.0386773405342722</v>
      </c>
      <c r="X26" s="1" t="s">
        <v>95</v>
      </c>
      <c r="Y26" s="1"/>
      <c r="Z26" s="1"/>
      <c r="AA26" s="1"/>
      <c r="AB26" s="18" t="s">
        <v>27</v>
      </c>
      <c r="AC26" s="7">
        <f t="shared" si="31"/>
        <v>5.2028180999999991</v>
      </c>
      <c r="AD26" s="20">
        <f t="shared" si="27"/>
        <v>1.0928180999999988</v>
      </c>
      <c r="AE26" s="22">
        <f>AC26/$AC$14</f>
        <v>1.2658924817518244</v>
      </c>
      <c r="AF26" s="1"/>
      <c r="AG26" s="1"/>
      <c r="AH26" s="18" t="s">
        <v>27</v>
      </c>
      <c r="AI26" s="7">
        <f t="shared" si="32"/>
        <v>2.4170214671962289</v>
      </c>
      <c r="AJ26" s="20">
        <f t="shared" si="33"/>
        <v>0.61702146719622886</v>
      </c>
      <c r="AK26" s="22">
        <f>AI26/$AI$14</f>
        <v>1.3427897039979049</v>
      </c>
      <c r="AL26" s="1"/>
      <c r="AM26" s="1"/>
      <c r="AN26" s="18" t="s">
        <v>27</v>
      </c>
      <c r="AO26" s="7">
        <f t="shared" si="34"/>
        <v>1.8602254659217874</v>
      </c>
      <c r="AP26" s="20">
        <f t="shared" si="35"/>
        <v>-0.1297745340782126</v>
      </c>
      <c r="AQ26" s="22">
        <f>AO26/$AO$14</f>
        <v>0.93478666629235552</v>
      </c>
      <c r="AR26" s="1"/>
      <c r="AS26" s="1"/>
      <c r="AT26" s="18" t="s">
        <v>27</v>
      </c>
      <c r="AU26" s="7">
        <f t="shared" si="36"/>
        <v>1.7984601672486031</v>
      </c>
      <c r="AV26" s="20">
        <f t="shared" si="37"/>
        <v>-0.2715398327513967</v>
      </c>
      <c r="AW26" s="22">
        <f>AU26/$AO$14</f>
        <v>0.90374882776311716</v>
      </c>
      <c r="AX26" s="1"/>
      <c r="AY26" s="1"/>
      <c r="AZ26" s="1"/>
      <c r="BA26" s="1"/>
      <c r="BB26" s="1"/>
      <c r="BC26" s="1"/>
      <c r="BD26" s="1"/>
      <c r="BE26" s="1"/>
      <c r="BF26" s="1"/>
      <c r="BG26" s="1"/>
      <c r="BH26" s="1"/>
      <c r="BI26" s="1"/>
      <c r="BJ26" s="1"/>
      <c r="BK26" s="1"/>
      <c r="BL26" s="1"/>
      <c r="BM26" s="1"/>
      <c r="BN26" s="1"/>
      <c r="BO26" s="1"/>
      <c r="BP26" s="1"/>
      <c r="BQ26" s="1"/>
      <c r="BR26" s="1"/>
      <c r="BS26" s="1"/>
    </row>
    <row r="27" spans="1:71" x14ac:dyDescent="0.25">
      <c r="A27" s="1"/>
      <c r="B27" s="16">
        <v>100</v>
      </c>
      <c r="C27" s="7">
        <v>3.7320000000000002</v>
      </c>
      <c r="D27" s="6">
        <v>6.2E-2</v>
      </c>
      <c r="E27" s="21">
        <f t="shared" si="28"/>
        <v>1.6613076098606645E-2</v>
      </c>
      <c r="F27" s="8"/>
      <c r="G27" s="8"/>
      <c r="H27" s="8"/>
      <c r="I27" s="8"/>
      <c r="J27" s="1"/>
      <c r="K27" s="17">
        <v>100</v>
      </c>
      <c r="L27" s="7">
        <f>L26/H49</f>
        <v>6.7652440987223574</v>
      </c>
      <c r="M27" s="9">
        <f t="shared" si="38"/>
        <v>0.19864632739588925</v>
      </c>
      <c r="N27" s="21">
        <f>(N19+E27)/2</f>
        <v>2.9362773093938234E-2</v>
      </c>
      <c r="O27" s="475"/>
      <c r="P27" s="1"/>
      <c r="Q27" s="1"/>
      <c r="R27" s="1"/>
      <c r="S27" s="1"/>
      <c r="T27" s="18" t="s">
        <v>57</v>
      </c>
      <c r="U27" s="7">
        <f t="shared" si="29"/>
        <v>4.2681845480948208</v>
      </c>
      <c r="V27" s="20">
        <f t="shared" si="30"/>
        <v>2.3381845480948211</v>
      </c>
      <c r="W27" s="22">
        <f t="shared" si="39"/>
        <v>2.2114945845050884</v>
      </c>
      <c r="X27" s="1"/>
      <c r="Y27" s="1"/>
      <c r="Z27" s="1"/>
      <c r="AA27" s="1"/>
      <c r="AB27" s="18" t="s">
        <v>57</v>
      </c>
      <c r="AC27" s="7">
        <f t="shared" si="31"/>
        <v>9.5275060639999989</v>
      </c>
      <c r="AD27" s="20">
        <f t="shared" si="27"/>
        <v>5.4175060639999986</v>
      </c>
      <c r="AE27" s="22">
        <f t="shared" si="40"/>
        <v>2.3181279961070556</v>
      </c>
      <c r="AF27" s="1"/>
      <c r="AG27" s="1"/>
      <c r="AH27" s="18" t="s">
        <v>57</v>
      </c>
      <c r="AI27" s="7">
        <f t="shared" si="32"/>
        <v>4.7863311653517373</v>
      </c>
      <c r="AJ27" s="20">
        <f t="shared" si="33"/>
        <v>2.9863311653517375</v>
      </c>
      <c r="AK27" s="22">
        <f>AI27/$AI$14</f>
        <v>2.659072869639854</v>
      </c>
      <c r="AL27" s="1"/>
      <c r="AM27" s="1"/>
      <c r="AN27" s="18" t="s">
        <v>57</v>
      </c>
      <c r="AO27" s="7">
        <f t="shared" si="34"/>
        <v>4.085140903322757</v>
      </c>
      <c r="AP27" s="20">
        <f t="shared" si="35"/>
        <v>2.0951409033227568</v>
      </c>
      <c r="AQ27" s="22">
        <f>AO27/$AO$14</f>
        <v>2.0528346247853051</v>
      </c>
      <c r="AR27" s="1"/>
      <c r="AS27" s="1"/>
      <c r="AT27" s="18" t="s">
        <v>57</v>
      </c>
      <c r="AU27" s="7">
        <f t="shared" si="36"/>
        <v>4.0029949332140182</v>
      </c>
      <c r="AV27" s="20">
        <f t="shared" si="37"/>
        <v>1.9329949332140184</v>
      </c>
      <c r="AW27" s="22">
        <f>AU27/$AO$14</f>
        <v>2.0115552428211148</v>
      </c>
      <c r="AX27" s="1"/>
      <c r="AY27" s="1"/>
      <c r="AZ27" s="1"/>
      <c r="BA27" s="1"/>
      <c r="BB27" s="1"/>
      <c r="BC27" s="1"/>
      <c r="BD27" s="1"/>
      <c r="BE27" s="1"/>
      <c r="BF27" s="1"/>
      <c r="BG27" s="1"/>
      <c r="BH27" s="1"/>
      <c r="BI27" s="1"/>
      <c r="BJ27" s="1"/>
      <c r="BK27" s="1"/>
      <c r="BL27" s="1"/>
      <c r="BM27" s="1"/>
      <c r="BN27" s="1"/>
      <c r="BO27" s="1"/>
      <c r="BP27" s="1"/>
      <c r="BQ27" s="1"/>
      <c r="BR27" s="1"/>
      <c r="BS27" s="1"/>
    </row>
    <row r="28" spans="1:71" x14ac:dyDescent="0.25">
      <c r="A28" s="1"/>
      <c r="B28" s="8"/>
      <c r="C28" s="8"/>
      <c r="D28" s="8"/>
      <c r="E28" s="8"/>
      <c r="F28" s="8"/>
      <c r="G28" s="8"/>
      <c r="H28" s="8"/>
      <c r="I28" s="8"/>
      <c r="J28" s="8"/>
      <c r="K28" s="8"/>
      <c r="L28" s="8"/>
      <c r="M28" s="8"/>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x14ac:dyDescent="0.25">
      <c r="A29" s="1"/>
      <c r="B29" s="8" t="s">
        <v>7</v>
      </c>
      <c r="C29" s="8"/>
      <c r="D29" s="8"/>
      <c r="E29" s="8"/>
      <c r="F29" s="8"/>
      <c r="G29" s="8"/>
      <c r="H29" s="8"/>
      <c r="I29" s="8"/>
      <c r="J29" s="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x14ac:dyDescent="0.25">
      <c r="A30" s="1"/>
      <c r="B30" s="11" t="s">
        <v>0</v>
      </c>
      <c r="C30" s="11" t="s">
        <v>1</v>
      </c>
      <c r="D30" s="11" t="s">
        <v>2</v>
      </c>
      <c r="E30" s="11" t="s">
        <v>3</v>
      </c>
      <c r="F30" s="8"/>
      <c r="G30" s="8"/>
      <c r="H30" s="8"/>
      <c r="I30" s="8"/>
      <c r="J30" s="8"/>
      <c r="K30" s="1"/>
      <c r="L30" s="1"/>
      <c r="M30" s="1"/>
      <c r="N30" s="1"/>
      <c r="O30" s="1"/>
      <c r="P30" s="1"/>
      <c r="Q30" s="1"/>
      <c r="R30" s="1"/>
      <c r="S30" s="1"/>
      <c r="T30" s="1"/>
      <c r="U30" s="1"/>
      <c r="V30" s="1"/>
      <c r="W30" s="1"/>
      <c r="X30" s="1"/>
      <c r="Y30" s="1"/>
      <c r="Z30" s="1"/>
      <c r="AA30" s="1"/>
      <c r="AB30" s="1"/>
      <c r="AC30" s="1"/>
      <c r="AD30" s="1" t="s">
        <v>38</v>
      </c>
      <c r="AE30" s="1"/>
      <c r="AF30" s="1"/>
      <c r="AG30" s="1"/>
      <c r="AH30" s="1"/>
      <c r="AI30" s="1"/>
      <c r="AJ30" s="1" t="s">
        <v>49</v>
      </c>
      <c r="AK30" s="1"/>
      <c r="AL30" s="1"/>
      <c r="AM30" s="1"/>
      <c r="AN30" s="1"/>
      <c r="AO30" s="1"/>
      <c r="AP30" s="1" t="s">
        <v>50</v>
      </c>
      <c r="AQ30" s="1"/>
      <c r="AR30" s="1"/>
      <c r="AS30" s="1"/>
      <c r="AT30" s="1"/>
      <c r="AU30" s="1"/>
      <c r="AV30" s="1" t="s">
        <v>51</v>
      </c>
      <c r="AW30" s="1"/>
      <c r="AX30" s="1"/>
      <c r="AY30" s="1"/>
      <c r="AZ30" s="1"/>
      <c r="BA30" s="1"/>
      <c r="BB30" s="1"/>
      <c r="BC30" s="1"/>
      <c r="BD30" s="1"/>
      <c r="BE30" s="1"/>
      <c r="BF30" s="1"/>
      <c r="BG30" s="1"/>
      <c r="BH30" s="1"/>
      <c r="BI30" s="1"/>
      <c r="BJ30" s="1"/>
      <c r="BK30" s="1"/>
      <c r="BL30" s="1"/>
      <c r="BM30" s="1"/>
      <c r="BN30" s="1"/>
      <c r="BO30" s="1"/>
      <c r="BP30" s="1"/>
      <c r="BQ30" s="1"/>
      <c r="BR30" s="1"/>
      <c r="BS30" s="1"/>
    </row>
    <row r="31" spans="1:71" x14ac:dyDescent="0.25">
      <c r="A31" s="1"/>
      <c r="B31" s="16">
        <v>1</v>
      </c>
      <c r="C31" s="7">
        <f>C15+7.36*$K$44</f>
        <v>10.306999999999999</v>
      </c>
      <c r="D31" s="6">
        <f>C31*E31</f>
        <v>1.2865880721220526</v>
      </c>
      <c r="E31" s="21">
        <v>0.12482662968099861</v>
      </c>
      <c r="F31" s="8"/>
      <c r="G31" s="8"/>
      <c r="H31" s="8"/>
      <c r="I31" s="8"/>
      <c r="J31" s="8"/>
      <c r="K31" s="1"/>
      <c r="L31" s="1"/>
      <c r="M31" s="1"/>
      <c r="N31" s="1"/>
      <c r="O31" s="1"/>
      <c r="P31" s="1"/>
      <c r="Q31" s="1"/>
      <c r="R31" s="1"/>
      <c r="S31" s="1"/>
      <c r="T31" s="1"/>
      <c r="U31" s="1"/>
      <c r="V31" s="1"/>
      <c r="W31" s="1"/>
      <c r="X31" s="1"/>
      <c r="Y31" s="1"/>
      <c r="Z31" s="1"/>
      <c r="AA31" s="1"/>
      <c r="AB31" s="1"/>
      <c r="AC31" s="1"/>
      <c r="AD31" s="1">
        <f>AC4/1.2</f>
        <v>3.4275000000000007</v>
      </c>
      <c r="AE31" s="1"/>
      <c r="AF31" s="1"/>
      <c r="AG31" s="1"/>
      <c r="AH31" s="1"/>
      <c r="AI31" s="1"/>
      <c r="AJ31" s="1">
        <f>AI4/1.2</f>
        <v>1.4991666666666668</v>
      </c>
      <c r="AK31" s="1"/>
      <c r="AL31" s="1"/>
      <c r="AM31" s="1"/>
      <c r="AN31" s="1"/>
      <c r="AO31" s="1"/>
      <c r="AP31" s="1">
        <f>AO4/1.2</f>
        <v>1.6608333333333334</v>
      </c>
      <c r="AQ31" s="1"/>
      <c r="AR31" s="1"/>
      <c r="AS31" s="1"/>
      <c r="AT31" s="1"/>
      <c r="AU31" s="1"/>
      <c r="AV31" s="1">
        <f>AU4/1.2</f>
        <v>1.7216666666666667</v>
      </c>
      <c r="AW31" s="1"/>
      <c r="AX31" s="1"/>
      <c r="AY31" s="1"/>
      <c r="AZ31" s="1"/>
      <c r="BA31" s="1"/>
      <c r="BB31" s="1"/>
      <c r="BC31" s="1"/>
      <c r="BD31" s="1"/>
      <c r="BE31" s="1"/>
      <c r="BF31" s="1"/>
      <c r="BG31" s="1"/>
      <c r="BH31" s="1"/>
      <c r="BI31" s="1"/>
      <c r="BJ31" s="1"/>
      <c r="BK31" s="1"/>
      <c r="BL31" s="1"/>
      <c r="BM31" s="1"/>
      <c r="BN31" s="1"/>
      <c r="BO31" s="1"/>
      <c r="BP31" s="1"/>
      <c r="BQ31" s="1"/>
      <c r="BR31" s="1"/>
      <c r="BS31" s="1"/>
    </row>
    <row r="32" spans="1:71" x14ac:dyDescent="0.25">
      <c r="A32" s="1"/>
      <c r="B32" s="16">
        <v>25</v>
      </c>
      <c r="C32" s="7">
        <f>C31/B46</f>
        <v>5.636685298196948</v>
      </c>
      <c r="D32" s="6">
        <f t="shared" ref="D32:D35" si="41">C32*E32</f>
        <v>0.5189238557558945</v>
      </c>
      <c r="E32" s="21">
        <v>9.2061881815876226E-2</v>
      </c>
      <c r="F32" s="8"/>
      <c r="G32" s="8"/>
      <c r="H32" s="8"/>
      <c r="I32" s="8"/>
      <c r="J32" s="8"/>
      <c r="K32" s="1"/>
      <c r="L32" s="1"/>
      <c r="M32" s="1"/>
      <c r="N32" s="1"/>
      <c r="O32" s="1"/>
      <c r="P32" s="1"/>
      <c r="Q32" s="1"/>
      <c r="R32" s="1"/>
      <c r="S32" s="1"/>
      <c r="T32" s="1"/>
      <c r="U32" s="1"/>
      <c r="V32" s="1" t="s">
        <v>37</v>
      </c>
      <c r="W32" s="1"/>
      <c r="X32" s="1"/>
      <c r="Y32" s="1"/>
      <c r="Z32" s="1"/>
      <c r="AA32" s="1"/>
      <c r="AB32" s="1"/>
      <c r="AC32" s="1">
        <f>AC5/AC4</f>
        <v>1.7529783612934595</v>
      </c>
      <c r="AD32" s="1">
        <f>AC5/AC7</f>
        <v>0.81997043102467881</v>
      </c>
      <c r="AE32" s="1"/>
      <c r="AF32" s="1"/>
      <c r="AG32" s="1"/>
      <c r="AH32" s="1"/>
      <c r="AI32" s="1">
        <f>AI5/AI4</f>
        <v>2.1917732073374099</v>
      </c>
      <c r="AJ32" s="1">
        <f>AI5/AI7</f>
        <v>0.96526784377566577</v>
      </c>
      <c r="AK32" s="1"/>
      <c r="AL32" s="1"/>
      <c r="AM32" s="1"/>
      <c r="AN32" s="1"/>
      <c r="AO32" s="1">
        <f>AO5/AO4</f>
        <v>1.88509784244857</v>
      </c>
      <c r="AP32" s="1">
        <f>AO5/AO7</f>
        <v>1.1950255174570683</v>
      </c>
      <c r="AQ32" s="1"/>
      <c r="AR32" s="1"/>
      <c r="AS32" s="1"/>
      <c r="AT32" s="1"/>
      <c r="AU32" s="1">
        <f>AU5/AU4</f>
        <v>1.8063891577928366</v>
      </c>
      <c r="AV32" s="1">
        <f>AU5/AU7</f>
        <v>1.2278417060402733</v>
      </c>
      <c r="AW32" s="1"/>
      <c r="AX32" s="1"/>
      <c r="AY32" s="1"/>
      <c r="AZ32" s="1"/>
      <c r="BA32" s="1"/>
      <c r="BB32" s="1"/>
      <c r="BC32" s="1"/>
      <c r="BD32" s="1"/>
      <c r="BE32" s="1"/>
      <c r="BF32" s="1"/>
      <c r="BG32" s="1"/>
      <c r="BH32" s="1"/>
      <c r="BI32" s="1"/>
      <c r="BJ32" s="1"/>
      <c r="BK32" s="1"/>
      <c r="BL32" s="1"/>
      <c r="BM32" s="1"/>
      <c r="BN32" s="1"/>
      <c r="BO32" s="1"/>
      <c r="BP32" s="1"/>
      <c r="BQ32" s="1"/>
      <c r="BR32" s="1"/>
      <c r="BS32" s="1"/>
    </row>
    <row r="33" spans="1:72" x14ac:dyDescent="0.25">
      <c r="A33" s="1"/>
      <c r="B33" s="16">
        <v>50</v>
      </c>
      <c r="C33" s="7">
        <f>C32/B47</f>
        <v>5.4351198335644924</v>
      </c>
      <c r="D33" s="6">
        <f t="shared" si="41"/>
        <v>0.21443134535367536</v>
      </c>
      <c r="E33" s="21">
        <v>3.9452919516044183E-2</v>
      </c>
      <c r="F33" s="8"/>
      <c r="G33" s="8"/>
      <c r="H33" s="8"/>
      <c r="I33" s="8"/>
      <c r="J33" s="8"/>
      <c r="K33" s="1"/>
      <c r="L33" s="1"/>
      <c r="M33" s="1"/>
      <c r="N33" s="1"/>
      <c r="O33" s="1"/>
      <c r="P33" s="1"/>
      <c r="Q33" s="1"/>
      <c r="R33" s="1"/>
      <c r="S33" s="1"/>
      <c r="T33" s="1"/>
      <c r="V33" s="1">
        <f>U4/1.2</f>
        <v>1.6075000000000002</v>
      </c>
      <c r="W33" s="1" t="s">
        <v>94</v>
      </c>
      <c r="X33" s="1"/>
      <c r="Y33" s="1"/>
      <c r="Z33" s="1"/>
      <c r="AA33" s="1"/>
      <c r="AB33" s="1"/>
      <c r="AC33" s="1">
        <f>AC6/AC4</f>
        <v>2.505956722586919</v>
      </c>
      <c r="AD33" s="1">
        <f>AC6/AC7</f>
        <v>1.1721824178323665</v>
      </c>
      <c r="AE33" s="1"/>
      <c r="AF33" s="1"/>
      <c r="AG33" s="1"/>
      <c r="AH33" s="1"/>
      <c r="AI33" s="1">
        <f>AI6/AI4</f>
        <v>3.1332325170633397</v>
      </c>
      <c r="AJ33" s="1">
        <f>AI6/AI7</f>
        <v>1.3798912157830494</v>
      </c>
      <c r="AK33" s="1"/>
      <c r="AL33" s="1"/>
      <c r="AM33" s="1"/>
      <c r="AN33" s="1"/>
      <c r="AO33" s="1">
        <f>AO6/AO4</f>
        <v>2.6948271098637178</v>
      </c>
      <c r="AP33" s="1">
        <f>AO6/AO7</f>
        <v>1.7083395296019417</v>
      </c>
      <c r="AQ33" s="1"/>
      <c r="AR33" s="1"/>
      <c r="AS33" s="1"/>
      <c r="AT33" s="1"/>
      <c r="AU33" s="1">
        <f>AU6/AU4</f>
        <v>2.5823097155854038</v>
      </c>
      <c r="AV33" s="1">
        <f>AU6/AU7</f>
        <v>1.7552516593837855</v>
      </c>
      <c r="AW33" s="1"/>
      <c r="AX33" s="1"/>
      <c r="AY33" s="1"/>
      <c r="AZ33" s="1"/>
      <c r="BA33" s="1"/>
      <c r="BB33" s="1"/>
      <c r="BC33" s="1"/>
      <c r="BD33" s="1"/>
      <c r="BE33" s="1"/>
      <c r="BF33" s="1"/>
      <c r="BG33" s="1"/>
      <c r="BH33" s="1"/>
      <c r="BI33" s="1"/>
      <c r="BJ33" s="1"/>
      <c r="BK33" s="1"/>
      <c r="BL33" s="1"/>
      <c r="BM33" s="1"/>
      <c r="BN33" s="1"/>
      <c r="BO33" s="1"/>
      <c r="BP33" s="1"/>
      <c r="BQ33" s="1"/>
      <c r="BR33" s="1"/>
      <c r="BS33" s="1"/>
    </row>
    <row r="34" spans="1:72" x14ac:dyDescent="0.25">
      <c r="A34" s="1"/>
      <c r="B34" s="16">
        <v>75</v>
      </c>
      <c r="C34" s="7">
        <f>C33/B48</f>
        <v>5.3707904299583902</v>
      </c>
      <c r="D34" s="6">
        <f t="shared" si="41"/>
        <v>0.12437018030513172</v>
      </c>
      <c r="E34" s="21">
        <v>2.3156774021825921E-2</v>
      </c>
      <c r="F34" s="8"/>
      <c r="G34" s="8"/>
      <c r="H34" s="8"/>
      <c r="I34" s="8"/>
      <c r="J34" s="8"/>
      <c r="K34" s="1"/>
      <c r="L34" s="1"/>
      <c r="M34" s="1"/>
      <c r="N34" s="1"/>
      <c r="O34" s="1"/>
      <c r="P34" s="1"/>
      <c r="Q34" s="1"/>
      <c r="R34" s="1"/>
      <c r="S34" s="1"/>
      <c r="T34" s="1"/>
      <c r="U34" s="1">
        <f>U5/U4</f>
        <v>1.9709694142042509</v>
      </c>
      <c r="V34" s="1">
        <f>U5/U7</f>
        <v>1.1222140856267688</v>
      </c>
      <c r="W34" s="1" t="s">
        <v>96</v>
      </c>
      <c r="X34" s="1"/>
      <c r="Y34" s="1"/>
      <c r="Z34" s="1"/>
      <c r="AA34" s="1"/>
      <c r="AB34" s="1"/>
      <c r="AC34" s="1">
        <f>AC7/AC4</f>
        <v>2.1378555798687087</v>
      </c>
      <c r="AD34" s="1">
        <f>AC8/AC7</f>
        <v>1.8312202888661437</v>
      </c>
      <c r="AE34" s="1"/>
      <c r="AF34" s="1"/>
      <c r="AG34" s="1"/>
      <c r="AH34" s="1"/>
      <c r="AI34" s="1">
        <f>AI7/AI4</f>
        <v>2.2706373380928575</v>
      </c>
      <c r="AJ34" s="1">
        <f>AI8/AI7</f>
        <v>1.980260097111977</v>
      </c>
      <c r="AK34" s="1"/>
      <c r="AL34" s="1"/>
      <c r="AM34" s="1"/>
      <c r="AN34" s="1"/>
      <c r="AO34" s="1">
        <f>AO7/AO4</f>
        <v>1.5774540500690963</v>
      </c>
      <c r="AP34" s="1">
        <f>AO8/AO7</f>
        <v>2.1960461127750817</v>
      </c>
      <c r="AQ34" s="1"/>
      <c r="AR34" s="1"/>
      <c r="AS34" s="1"/>
      <c r="AT34" s="1"/>
      <c r="AU34" s="1">
        <f>AU7/AU4</f>
        <v>1.4711905849967821</v>
      </c>
      <c r="AV34" s="1">
        <f>AU8/AU7</f>
        <v>2.2257901543285503</v>
      </c>
      <c r="AW34" s="1"/>
      <c r="AX34" s="1"/>
      <c r="AY34" s="1"/>
      <c r="AZ34" s="1"/>
      <c r="BA34" s="1"/>
      <c r="BB34" s="1"/>
      <c r="BC34" s="1"/>
      <c r="BD34" s="1"/>
      <c r="BE34" s="1"/>
      <c r="BF34" s="1"/>
      <c r="BG34" s="1"/>
      <c r="BH34" s="1"/>
      <c r="BI34" s="1"/>
      <c r="BJ34" s="1"/>
      <c r="BK34" s="1"/>
      <c r="BL34" s="1"/>
      <c r="BM34" s="1"/>
      <c r="BN34" s="1"/>
      <c r="BO34" s="1"/>
      <c r="BP34" s="1"/>
      <c r="BQ34" s="1"/>
      <c r="BR34" s="1"/>
      <c r="BS34" s="1"/>
    </row>
    <row r="35" spans="1:72" x14ac:dyDescent="0.25">
      <c r="A35" s="1"/>
      <c r="B35" s="16">
        <v>100</v>
      </c>
      <c r="C35" s="7">
        <f>C34/B49</f>
        <v>5.3350518723994442</v>
      </c>
      <c r="D35" s="6">
        <f t="shared" si="41"/>
        <v>8.8631622746185829E-2</v>
      </c>
      <c r="E35" s="21">
        <v>1.6613076098606645E-2</v>
      </c>
      <c r="F35" s="8"/>
      <c r="G35" s="8"/>
      <c r="H35" s="8"/>
      <c r="I35" s="8"/>
      <c r="J35" s="8"/>
      <c r="K35" s="1"/>
      <c r="L35" s="1"/>
      <c r="M35" s="1"/>
      <c r="N35" s="1"/>
      <c r="O35" s="1"/>
      <c r="P35" s="1"/>
      <c r="Q35" s="1"/>
      <c r="R35" s="1"/>
      <c r="S35" s="1"/>
      <c r="T35" s="1"/>
      <c r="U35" s="1">
        <f>U6/U4</f>
        <v>2.8175841542584199</v>
      </c>
      <c r="V35" s="1">
        <f>U6/U7</f>
        <v>1.6042525077052847</v>
      </c>
      <c r="W35" s="1" t="s">
        <v>97</v>
      </c>
      <c r="X35" s="1"/>
      <c r="Y35" s="1"/>
      <c r="Z35" s="1"/>
      <c r="AA35" s="1"/>
      <c r="AB35" s="1"/>
      <c r="AC35" s="1">
        <f>AC8/AC4</f>
        <v>3.9148845125212737</v>
      </c>
      <c r="AD35" s="1"/>
      <c r="AE35" s="1"/>
      <c r="AF35" s="1"/>
      <c r="AG35" s="1"/>
      <c r="AH35" s="1"/>
      <c r="AI35" s="1">
        <f>AI8/AI4</f>
        <v>4.4964525156378432</v>
      </c>
      <c r="AJ35" s="1"/>
      <c r="AK35" s="1"/>
      <c r="AL35" s="1"/>
      <c r="AM35" s="1"/>
      <c r="AN35" s="1"/>
      <c r="AO35" s="1">
        <f>AO8/AO4</f>
        <v>3.4641618347355481</v>
      </c>
      <c r="AP35" s="1"/>
      <c r="AQ35" s="1"/>
      <c r="AR35" s="1"/>
      <c r="AS35" s="1"/>
      <c r="AT35" s="1"/>
      <c r="AU35" s="1">
        <f>AU8/AU4</f>
        <v>3.2745615192266979</v>
      </c>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2" x14ac:dyDescent="0.25">
      <c r="A36" s="1"/>
      <c r="B36" s="1"/>
      <c r="C36" s="1"/>
      <c r="D36" s="1"/>
      <c r="E36" s="1"/>
      <c r="F36" s="1"/>
      <c r="G36" s="1"/>
      <c r="H36" s="1"/>
      <c r="I36" s="1"/>
      <c r="J36" s="1"/>
      <c r="K36" s="1"/>
      <c r="L36" s="1"/>
      <c r="M36" s="1"/>
      <c r="N36" s="1"/>
      <c r="O36" s="1"/>
      <c r="P36" s="1"/>
      <c r="Q36" s="1"/>
      <c r="R36" s="1"/>
      <c r="S36" s="1"/>
      <c r="T36" s="1"/>
      <c r="U36" s="1">
        <f>U7/U4</f>
        <v>1.7563221130872217</v>
      </c>
      <c r="V36" s="1">
        <f>U8/U7</f>
        <v>2.1291449213357696</v>
      </c>
      <c r="W36" s="1" t="s">
        <v>98</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x14ac:dyDescent="0.25">
      <c r="A37" s="1"/>
      <c r="B37" s="1"/>
      <c r="C37" s="1"/>
      <c r="D37" s="1"/>
      <c r="E37" s="1"/>
      <c r="F37" s="1"/>
      <c r="G37" s="1"/>
      <c r="H37" s="1"/>
      <c r="I37" s="1"/>
      <c r="J37" s="1"/>
      <c r="K37" s="1"/>
      <c r="L37" s="1"/>
      <c r="M37" s="1"/>
      <c r="N37" s="1"/>
      <c r="O37" s="1"/>
      <c r="P37" s="1"/>
      <c r="Q37" s="1"/>
      <c r="R37" s="1"/>
      <c r="S37" s="1"/>
      <c r="T37" s="1"/>
      <c r="U37" s="1">
        <f>U8/U4</f>
        <v>3.7394643073093654</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x14ac:dyDescent="0.25">
      <c r="A40" s="1"/>
      <c r="B40" s="1"/>
      <c r="C40" s="26"/>
      <c r="D40" s="26"/>
      <c r="E40" s="26"/>
      <c r="F40" s="26"/>
      <c r="G40" s="26"/>
      <c r="H40" s="26"/>
      <c r="I40" s="26"/>
      <c r="J40" s="26"/>
      <c r="K40" s="26"/>
      <c r="L40" s="26"/>
      <c r="M40" s="26"/>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x14ac:dyDescent="0.25">
      <c r="B41" s="26"/>
      <c r="C41" s="26"/>
      <c r="D41" s="26"/>
      <c r="E41" s="26"/>
      <c r="F41" s="26"/>
      <c r="G41" s="26"/>
      <c r="H41" s="26"/>
      <c r="I41" s="26"/>
      <c r="J41" s="26"/>
      <c r="K41" s="26"/>
      <c r="L41" s="26"/>
      <c r="M41" s="26"/>
      <c r="R41" s="1"/>
      <c r="S41" s="1"/>
      <c r="T41" s="1"/>
      <c r="Y41" s="1"/>
      <c r="Z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x14ac:dyDescent="0.25">
      <c r="B42" s="26"/>
      <c r="C42" s="26"/>
      <c r="D42" s="26"/>
      <c r="E42" s="26"/>
      <c r="F42" s="26"/>
      <c r="G42" s="26"/>
      <c r="H42" s="26"/>
      <c r="I42" s="26"/>
      <c r="J42" s="26"/>
      <c r="K42" s="26"/>
      <c r="L42" s="26"/>
      <c r="M42" s="26"/>
      <c r="R42" s="1"/>
      <c r="S42" s="1"/>
      <c r="T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x14ac:dyDescent="0.25">
      <c r="B43" s="26"/>
      <c r="C43" s="26"/>
      <c r="D43" s="26"/>
      <c r="E43" s="26"/>
      <c r="F43" s="26"/>
      <c r="G43" s="26"/>
      <c r="H43" s="26"/>
      <c r="I43" s="26"/>
      <c r="J43" s="26"/>
      <c r="K43" s="26"/>
      <c r="L43" s="26"/>
      <c r="M43" s="26"/>
      <c r="R43" s="1"/>
      <c r="S43" s="1"/>
      <c r="T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x14ac:dyDescent="0.25">
      <c r="B44" s="26" t="s">
        <v>9</v>
      </c>
      <c r="C44" s="26"/>
      <c r="D44" s="26"/>
      <c r="E44" s="26"/>
      <c r="F44" s="26" t="s">
        <v>10</v>
      </c>
      <c r="G44" s="26"/>
      <c r="H44" s="26" t="s">
        <v>11</v>
      </c>
      <c r="I44" s="26"/>
      <c r="J44" s="26"/>
      <c r="K44" s="26">
        <f>B45/3.68</f>
        <v>0.84157608695652153</v>
      </c>
      <c r="L44" s="26" t="s">
        <v>19</v>
      </c>
      <c r="M44" s="26"/>
      <c r="R44" s="1"/>
      <c r="S44" s="1"/>
      <c r="T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x14ac:dyDescent="0.25">
      <c r="A45" s="1"/>
      <c r="B45" s="27">
        <f>C23-C15</f>
        <v>3.0969999999999995</v>
      </c>
      <c r="C45" s="26" t="s">
        <v>88</v>
      </c>
      <c r="D45" s="26"/>
      <c r="E45" s="26"/>
      <c r="F45" s="26"/>
      <c r="G45" s="26"/>
      <c r="H45" s="26"/>
      <c r="I45" s="26"/>
      <c r="J45" s="26"/>
      <c r="K45" s="26"/>
      <c r="L45" s="26" t="s">
        <v>19</v>
      </c>
      <c r="M45" s="26"/>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row>
    <row r="46" spans="1:72" x14ac:dyDescent="0.25">
      <c r="A46" s="1"/>
      <c r="B46" s="26">
        <f>C23/C24</f>
        <v>1.8285569363428862</v>
      </c>
      <c r="C46" s="59" t="s">
        <v>89</v>
      </c>
      <c r="D46" s="26"/>
      <c r="E46" s="26"/>
      <c r="F46" s="26">
        <f>L15/L16</f>
        <v>2.152574220217963</v>
      </c>
      <c r="G46" s="26"/>
      <c r="H46" s="26">
        <f>(F46+B46)/2</f>
        <v>1.9905655782804246</v>
      </c>
      <c r="I46" s="59" t="s">
        <v>89</v>
      </c>
      <c r="J46" s="26"/>
      <c r="K46" s="26"/>
      <c r="L46" s="26"/>
      <c r="M46" s="26"/>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x14ac:dyDescent="0.25">
      <c r="A47" s="1"/>
      <c r="B47" s="26">
        <f>C24/C25</f>
        <v>1.0370857443450816</v>
      </c>
      <c r="C47" s="59" t="s">
        <v>90</v>
      </c>
      <c r="D47" s="26"/>
      <c r="E47" s="26"/>
      <c r="F47" s="26">
        <f>L16/L17</f>
        <v>1.2057091073855914</v>
      </c>
      <c r="G47" s="26"/>
      <c r="H47" s="26">
        <f t="shared" ref="H47:H49" si="42">(F47+B47)/2</f>
        <v>1.1213974258653365</v>
      </c>
      <c r="I47" s="59" t="s">
        <v>90</v>
      </c>
      <c r="J47" s="26"/>
      <c r="K47" s="26"/>
      <c r="L47" s="26"/>
      <c r="M47" s="26"/>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x14ac:dyDescent="0.25">
      <c r="A48" s="1"/>
      <c r="B48" s="26">
        <f>C25/C26</f>
        <v>1.0119776417354271</v>
      </c>
      <c r="C48" s="59" t="s">
        <v>91</v>
      </c>
      <c r="D48" s="26"/>
      <c r="E48" s="26"/>
      <c r="F48" s="26">
        <f>L17/L18</f>
        <v>1.07763671875</v>
      </c>
      <c r="G48" s="26"/>
      <c r="H48" s="26">
        <f t="shared" si="42"/>
        <v>1.0448071802427137</v>
      </c>
      <c r="I48" s="59" t="s">
        <v>91</v>
      </c>
      <c r="J48" s="26"/>
      <c r="K48" s="26"/>
      <c r="L48" s="26"/>
      <c r="M48" s="26"/>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x14ac:dyDescent="0.25">
      <c r="A49" s="1"/>
      <c r="B49" s="26">
        <f>C26/C27</f>
        <v>1.0066988210075027</v>
      </c>
      <c r="C49" s="59" t="s">
        <v>92</v>
      </c>
      <c r="D49" s="26"/>
      <c r="E49" s="26"/>
      <c r="F49" s="26">
        <f>L18/L19</f>
        <v>1.0343434343434343</v>
      </c>
      <c r="G49" s="26"/>
      <c r="H49" s="26">
        <f t="shared" si="42"/>
        <v>1.0205211276754684</v>
      </c>
      <c r="I49" s="59" t="s">
        <v>92</v>
      </c>
      <c r="J49" s="26"/>
      <c r="K49" s="26"/>
      <c r="L49" s="26"/>
      <c r="M49" s="26"/>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x14ac:dyDescent="0.25">
      <c r="A50" s="1"/>
      <c r="B50" s="26"/>
      <c r="C50" s="26"/>
      <c r="D50" s="26"/>
      <c r="E50" s="26"/>
      <c r="F50" s="26"/>
      <c r="G50" s="26"/>
      <c r="H50" s="26"/>
      <c r="I50" s="26"/>
      <c r="J50" s="26"/>
      <c r="K50" s="26"/>
      <c r="L50" s="26"/>
      <c r="M50" s="26"/>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x14ac:dyDescent="0.25">
      <c r="A51" s="1"/>
      <c r="B51" s="26"/>
      <c r="C51" s="26"/>
      <c r="D51" s="26"/>
      <c r="E51" s="26"/>
      <c r="F51" s="26"/>
      <c r="G51" s="23"/>
      <c r="H51" s="23"/>
      <c r="I51" s="23"/>
      <c r="J51" s="23"/>
      <c r="K51" s="23"/>
      <c r="L51" s="23"/>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7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x14ac:dyDescent="0.25">
      <c r="BN57" s="1"/>
      <c r="BO57" s="1"/>
      <c r="BP57" s="1"/>
      <c r="BQ57" s="1"/>
      <c r="BR57" s="1"/>
      <c r="BS57" s="1"/>
      <c r="BT57" s="1"/>
    </row>
  </sheetData>
  <mergeCells count="3">
    <mergeCell ref="X3:X8"/>
    <mergeCell ref="K21:N21"/>
    <mergeCell ref="O22:O27"/>
  </mergeCells>
  <pageMargins left="0.7" right="0.7" top="0.75" bottom="0.75" header="0.3" footer="0.3"/>
  <pageSetup paperSize="9" orientation="portrait" r:id="rId1"/>
  <headerFooter>
    <oddFooter>&amp;C&amp;1#&amp;"Calibri"&amp;12&amp;K008000Internal Use</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293B4-F86B-45C8-901E-14AA84DE20E0}">
  <sheetPr>
    <tabColor rgb="FFFF0000"/>
  </sheetPr>
  <dimension ref="A1:BT57"/>
  <sheetViews>
    <sheetView topLeftCell="S1" zoomScaleNormal="100" workbookViewId="0">
      <selection activeCell="BJ24" sqref="BJ24"/>
    </sheetView>
  </sheetViews>
  <sheetFormatPr defaultRowHeight="15" x14ac:dyDescent="0.25"/>
  <cols>
    <col min="1" max="1" width="9.140625" customWidth="1"/>
    <col min="2" max="2" width="32.85546875" customWidth="1"/>
    <col min="3" max="10" width="9.140625" customWidth="1"/>
    <col min="11" max="11" width="31.85546875" customWidth="1"/>
    <col min="12" max="19" width="9.140625" customWidth="1"/>
    <col min="20" max="20" width="66.28515625" customWidth="1"/>
    <col min="21" max="21" width="9.140625" customWidth="1"/>
    <col min="22" max="22" width="19.7109375" customWidth="1"/>
    <col min="23" max="23" width="9.140625" customWidth="1"/>
    <col min="24" max="24" width="16.5703125" customWidth="1"/>
    <col min="25" max="27" width="9.140625" customWidth="1"/>
    <col min="28" max="28" width="63.140625" customWidth="1"/>
    <col min="29" max="29" width="9.140625" customWidth="1"/>
    <col min="30" max="30" width="19.7109375" customWidth="1"/>
    <col min="31" max="33" width="9.140625" customWidth="1"/>
    <col min="34" max="34" width="65.28515625" customWidth="1"/>
    <col min="35" max="35" width="9.140625" customWidth="1"/>
    <col min="36" max="36" width="21.28515625" customWidth="1"/>
    <col min="37" max="39" width="9.140625" customWidth="1"/>
    <col min="40" max="40" width="65.28515625" customWidth="1"/>
    <col min="41" max="41" width="9.140625" customWidth="1"/>
    <col min="42" max="42" width="24.28515625" customWidth="1"/>
    <col min="43" max="45" width="9.140625" customWidth="1"/>
    <col min="46" max="46" width="65.28515625" customWidth="1"/>
    <col min="47" max="47" width="9.140625" customWidth="1"/>
    <col min="48" max="48" width="19.140625" customWidth="1"/>
    <col min="49" max="51" width="9.140625" customWidth="1"/>
    <col min="52" max="52" width="40.5703125" customWidth="1"/>
    <col min="53" max="53" width="31.140625" customWidth="1"/>
    <col min="54" max="54" width="10" bestFit="1" customWidth="1"/>
  </cols>
  <sheetData>
    <row r="1" spans="1:7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x14ac:dyDescent="0.25">
      <c r="A2" s="1"/>
      <c r="B2" s="2" t="s">
        <v>4</v>
      </c>
      <c r="C2" s="2"/>
      <c r="D2" s="2"/>
      <c r="E2" s="3"/>
      <c r="F2" s="3"/>
      <c r="G2" s="3"/>
      <c r="H2" s="3"/>
      <c r="I2" s="3"/>
      <c r="J2" s="3"/>
      <c r="K2" s="2" t="s">
        <v>204</v>
      </c>
      <c r="L2" s="2"/>
      <c r="M2" s="2"/>
      <c r="N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x14ac:dyDescent="0.25">
      <c r="A3" s="1"/>
      <c r="B3" s="5" t="s">
        <v>0</v>
      </c>
      <c r="C3" s="5" t="s">
        <v>1</v>
      </c>
      <c r="D3" s="5" t="s">
        <v>2</v>
      </c>
      <c r="E3" s="5" t="s">
        <v>3</v>
      </c>
      <c r="F3" s="4"/>
      <c r="G3" s="4"/>
      <c r="H3" s="4"/>
      <c r="I3" s="4"/>
      <c r="J3" s="4"/>
      <c r="K3" s="14" t="s">
        <v>0</v>
      </c>
      <c r="L3" s="14" t="s">
        <v>1</v>
      </c>
      <c r="M3" s="14" t="s">
        <v>2</v>
      </c>
      <c r="N3" s="14" t="s">
        <v>3</v>
      </c>
      <c r="O3" s="1"/>
      <c r="P3" s="1"/>
      <c r="Q3" s="1"/>
      <c r="R3" s="1"/>
      <c r="S3" s="1"/>
      <c r="T3" s="19" t="s">
        <v>22</v>
      </c>
      <c r="U3" s="19" t="s">
        <v>8</v>
      </c>
      <c r="V3" s="19" t="s">
        <v>12</v>
      </c>
      <c r="W3" s="19" t="s">
        <v>13</v>
      </c>
      <c r="X3" s="475" t="s">
        <v>93</v>
      </c>
      <c r="Y3" s="1"/>
      <c r="Z3" s="1"/>
      <c r="AA3" s="1"/>
      <c r="AB3" s="19" t="s">
        <v>30</v>
      </c>
      <c r="AC3" s="19" t="s">
        <v>8</v>
      </c>
      <c r="AD3" s="19" t="s">
        <v>12</v>
      </c>
      <c r="AE3" s="19" t="s">
        <v>13</v>
      </c>
      <c r="AF3" s="1"/>
      <c r="AG3" s="1"/>
      <c r="AH3" s="19" t="s">
        <v>40</v>
      </c>
      <c r="AI3" s="19" t="s">
        <v>8</v>
      </c>
      <c r="AJ3" s="19" t="s">
        <v>12</v>
      </c>
      <c r="AK3" s="19" t="s">
        <v>13</v>
      </c>
      <c r="AL3" s="1"/>
      <c r="AM3" s="1"/>
      <c r="AN3" s="19" t="s">
        <v>41</v>
      </c>
      <c r="AO3" s="19" t="s">
        <v>8</v>
      </c>
      <c r="AP3" s="19" t="s">
        <v>12</v>
      </c>
      <c r="AQ3" s="19" t="s">
        <v>13</v>
      </c>
      <c r="AR3" s="1"/>
      <c r="AS3" s="1"/>
      <c r="AT3" s="19" t="s">
        <v>42</v>
      </c>
      <c r="AU3" s="19" t="s">
        <v>8</v>
      </c>
      <c r="AV3" s="19" t="s">
        <v>12</v>
      </c>
      <c r="AW3" s="19" t="s">
        <v>13</v>
      </c>
      <c r="AX3" s="1"/>
      <c r="AY3" s="1"/>
      <c r="AZ3" s="106" t="s">
        <v>52</v>
      </c>
      <c r="BA3" s="106" t="s">
        <v>54</v>
      </c>
      <c r="BB3" s="106" t="s">
        <v>60</v>
      </c>
      <c r="BC3" s="1"/>
      <c r="BD3" s="1"/>
      <c r="BE3" s="1"/>
      <c r="BF3" s="1"/>
      <c r="BG3" s="1"/>
      <c r="BH3" s="1"/>
      <c r="BI3" s="1"/>
      <c r="BJ3" s="1"/>
      <c r="BK3" s="1"/>
      <c r="BL3" s="1"/>
      <c r="BM3" s="1"/>
      <c r="BN3" s="1"/>
      <c r="BO3" s="1"/>
      <c r="BP3" s="1"/>
      <c r="BQ3" s="1"/>
      <c r="BR3" s="1"/>
      <c r="BS3" s="1"/>
    </row>
    <row r="4" spans="1:71" x14ac:dyDescent="0.25">
      <c r="A4" s="1"/>
      <c r="B4" s="16">
        <v>1</v>
      </c>
      <c r="C4" s="7">
        <v>3.5870000000000002</v>
      </c>
      <c r="D4" s="6">
        <v>0.54900000000000004</v>
      </c>
      <c r="E4" s="21">
        <f>D4/C4</f>
        <v>0.15305269027042098</v>
      </c>
      <c r="F4" s="8"/>
      <c r="G4" s="8"/>
      <c r="H4" s="8"/>
      <c r="I4" s="8"/>
      <c r="J4" s="8"/>
      <c r="K4" s="17">
        <v>1</v>
      </c>
      <c r="L4" s="7">
        <v>2.8439999999999999</v>
      </c>
      <c r="M4" s="9">
        <v>0.54900000000000004</v>
      </c>
      <c r="N4" s="21">
        <f>M4/L4</f>
        <v>0.19303797468354433</v>
      </c>
      <c r="O4" s="1"/>
      <c r="P4" s="1"/>
      <c r="Q4" s="1"/>
      <c r="R4" s="1"/>
      <c r="S4" s="1"/>
      <c r="T4" s="18" t="s">
        <v>21</v>
      </c>
      <c r="U4" s="7">
        <f>C17</f>
        <v>1.929</v>
      </c>
      <c r="V4" s="20">
        <f>U4-$U$4</f>
        <v>0</v>
      </c>
      <c r="W4" s="22">
        <v>0</v>
      </c>
      <c r="X4" s="475"/>
      <c r="Y4" s="1"/>
      <c r="Z4" s="1"/>
      <c r="AA4" s="1"/>
      <c r="AB4" s="18" t="s">
        <v>21</v>
      </c>
      <c r="AC4" s="7">
        <f>C15</f>
        <v>4.1130000000000004</v>
      </c>
      <c r="AD4" s="20">
        <f>AC4-$AC$4</f>
        <v>0</v>
      </c>
      <c r="AE4" s="22">
        <v>0</v>
      </c>
      <c r="AF4" s="1"/>
      <c r="AG4" s="1"/>
      <c r="AH4" s="18" t="s">
        <v>21</v>
      </c>
      <c r="AI4" s="7">
        <f>C16</f>
        <v>1.7989999999999999</v>
      </c>
      <c r="AJ4" s="20">
        <f>AI4-$AI$4</f>
        <v>0</v>
      </c>
      <c r="AK4" s="22">
        <v>0</v>
      </c>
      <c r="AL4" s="1"/>
      <c r="AM4" s="1"/>
      <c r="AN4" s="18" t="s">
        <v>21</v>
      </c>
      <c r="AO4" s="7">
        <f>C18</f>
        <v>1.9930000000000001</v>
      </c>
      <c r="AP4" s="20">
        <f>AO4-$AO$4</f>
        <v>0</v>
      </c>
      <c r="AQ4" s="22">
        <v>0</v>
      </c>
      <c r="AR4" s="1"/>
      <c r="AS4" s="1"/>
      <c r="AT4" s="18" t="s">
        <v>21</v>
      </c>
      <c r="AU4" s="7">
        <f>C19</f>
        <v>2.0659999999999998</v>
      </c>
      <c r="AV4" s="20">
        <f>AU4-$U$4</f>
        <v>0.13699999999999979</v>
      </c>
      <c r="AW4" s="22">
        <v>0</v>
      </c>
      <c r="AX4" s="1"/>
      <c r="AY4" s="1"/>
      <c r="AZ4" s="107" t="s">
        <v>61</v>
      </c>
      <c r="BA4" s="108" t="s">
        <v>63</v>
      </c>
      <c r="BB4" s="109">
        <v>25</v>
      </c>
      <c r="BC4" s="1"/>
      <c r="BD4" s="1"/>
      <c r="BE4" s="1"/>
      <c r="BF4" s="1"/>
      <c r="BG4" s="1"/>
      <c r="BH4" s="1"/>
      <c r="BI4" s="1"/>
      <c r="BJ4" s="1"/>
      <c r="BK4" s="1"/>
      <c r="BL4" s="1"/>
      <c r="BM4" s="1"/>
      <c r="BN4" s="1"/>
      <c r="BO4" s="1"/>
      <c r="BP4" s="1"/>
      <c r="BQ4" s="1"/>
      <c r="BR4" s="1"/>
      <c r="BS4" s="1"/>
    </row>
    <row r="5" spans="1:71" x14ac:dyDescent="0.25">
      <c r="A5" s="1"/>
      <c r="B5" s="16">
        <v>25</v>
      </c>
      <c r="C5" s="7">
        <v>3.7559999999999998</v>
      </c>
      <c r="D5" s="6">
        <v>2.1000000000000001E-2</v>
      </c>
      <c r="E5" s="21">
        <f t="shared" ref="E5:E8" si="0">D5/C5</f>
        <v>5.5910543130990422E-3</v>
      </c>
      <c r="F5" s="8"/>
      <c r="G5" s="8"/>
      <c r="H5" s="8"/>
      <c r="I5" s="8"/>
      <c r="J5" s="8"/>
      <c r="K5" s="17">
        <v>25</v>
      </c>
      <c r="L5" s="7">
        <v>1.58</v>
      </c>
      <c r="M5" s="9">
        <v>0.317</v>
      </c>
      <c r="N5" s="21">
        <f t="shared" ref="N5:N8" si="1">M5/L5</f>
        <v>0.20063291139240505</v>
      </c>
      <c r="O5" s="1"/>
      <c r="P5" s="1"/>
      <c r="Q5" s="1"/>
      <c r="R5" s="1"/>
      <c r="S5" s="1"/>
      <c r="T5" s="18" t="s">
        <v>16</v>
      </c>
      <c r="U5" s="7">
        <f>C25</f>
        <v>3.802</v>
      </c>
      <c r="V5" s="20">
        <f>U5-$U$4</f>
        <v>1.873</v>
      </c>
      <c r="W5" s="22">
        <f>U5/$U$4</f>
        <v>1.9709694142042509</v>
      </c>
      <c r="X5" s="475"/>
      <c r="Y5" s="1"/>
      <c r="Z5" s="1"/>
      <c r="AA5" s="1"/>
      <c r="AB5" s="18" t="s">
        <v>16</v>
      </c>
      <c r="AC5" s="7">
        <f>C23</f>
        <v>7.21</v>
      </c>
      <c r="AD5" s="20">
        <f t="shared" ref="AD5:AD8" si="2">AC5-$AC$4</f>
        <v>3.0969999999999995</v>
      </c>
      <c r="AE5" s="22">
        <f>AC5/$AC$4</f>
        <v>1.7529783612934595</v>
      </c>
      <c r="AF5" s="1"/>
      <c r="AG5" s="1"/>
      <c r="AH5" s="18" t="s">
        <v>16</v>
      </c>
      <c r="AI5" s="7">
        <f>C24</f>
        <v>3.9430000000000001</v>
      </c>
      <c r="AJ5" s="20">
        <f t="shared" ref="AJ5:AJ8" si="3">AI5-$AI$4</f>
        <v>2.1440000000000001</v>
      </c>
      <c r="AK5" s="22">
        <f>AI5/$AI$4</f>
        <v>2.1917732073374099</v>
      </c>
      <c r="AL5" s="1"/>
      <c r="AM5" s="1"/>
      <c r="AN5" s="18" t="s">
        <v>16</v>
      </c>
      <c r="AO5" s="7">
        <f>C26</f>
        <v>3.7570000000000001</v>
      </c>
      <c r="AP5" s="20">
        <f t="shared" ref="AP5:AP8" si="4">AO5-$AO$4</f>
        <v>1.764</v>
      </c>
      <c r="AQ5" s="22">
        <f>AO5/$AO$4</f>
        <v>1.88509784244857</v>
      </c>
      <c r="AR5" s="1"/>
      <c r="AS5" s="1"/>
      <c r="AT5" s="18" t="s">
        <v>16</v>
      </c>
      <c r="AU5" s="7">
        <f>C27</f>
        <v>3.7320000000000002</v>
      </c>
      <c r="AV5" s="20">
        <f>AU5-$U$4</f>
        <v>1.8030000000000002</v>
      </c>
      <c r="AW5" s="22">
        <f>AU5/$U$4</f>
        <v>1.9346811819595646</v>
      </c>
      <c r="AX5" s="1"/>
      <c r="AY5" s="1"/>
      <c r="AZ5" s="110" t="s">
        <v>62</v>
      </c>
      <c r="BA5" s="111" t="s">
        <v>56</v>
      </c>
      <c r="BB5" s="112">
        <v>0</v>
      </c>
      <c r="BC5" s="1"/>
      <c r="BD5" s="1"/>
      <c r="BE5" s="1"/>
      <c r="BF5" s="1"/>
      <c r="BG5" s="1"/>
      <c r="BH5" s="1"/>
      <c r="BI5" s="1"/>
      <c r="BJ5" s="1"/>
      <c r="BK5" s="1"/>
      <c r="BL5" s="1"/>
      <c r="BM5" s="1"/>
      <c r="BN5" s="1"/>
      <c r="BO5" s="1"/>
      <c r="BP5" s="1"/>
      <c r="BQ5" s="1"/>
      <c r="BR5" s="1"/>
      <c r="BS5" s="1"/>
    </row>
    <row r="6" spans="1:71" x14ac:dyDescent="0.25">
      <c r="A6" s="1"/>
      <c r="B6" s="16">
        <v>50</v>
      </c>
      <c r="C6" s="7">
        <v>3.7370000000000001</v>
      </c>
      <c r="D6" s="6">
        <v>3.1E-2</v>
      </c>
      <c r="E6" s="21">
        <f t="shared" si="0"/>
        <v>8.2954241370082945E-3</v>
      </c>
      <c r="F6" s="8"/>
      <c r="G6" s="10"/>
      <c r="H6" s="8"/>
      <c r="I6" s="8"/>
      <c r="J6" s="8"/>
      <c r="K6" s="17">
        <v>50</v>
      </c>
      <c r="L6" s="7">
        <v>1.389</v>
      </c>
      <c r="M6" s="9">
        <v>0.192</v>
      </c>
      <c r="N6" s="21">
        <f t="shared" si="1"/>
        <v>0.13822894168466524</v>
      </c>
      <c r="O6" s="1"/>
      <c r="P6" s="1"/>
      <c r="Q6" s="1"/>
      <c r="R6" s="1"/>
      <c r="S6" s="1"/>
      <c r="T6" s="18" t="s">
        <v>17</v>
      </c>
      <c r="U6" s="7">
        <f>C33</f>
        <v>5.4351198335644924</v>
      </c>
      <c r="V6" s="20">
        <f>U6-$U$4</f>
        <v>3.5061198335644921</v>
      </c>
      <c r="W6" s="22">
        <f t="shared" ref="W6:W8" si="5">U6/$U$4</f>
        <v>2.8175841542584199</v>
      </c>
      <c r="X6" s="475"/>
      <c r="Y6" s="1"/>
      <c r="Z6" s="1"/>
      <c r="AA6" s="1"/>
      <c r="AB6" s="18" t="s">
        <v>17</v>
      </c>
      <c r="AC6" s="7">
        <f>C31</f>
        <v>10.306999999999999</v>
      </c>
      <c r="AD6" s="20">
        <f t="shared" si="2"/>
        <v>6.1939999999999982</v>
      </c>
      <c r="AE6" s="22">
        <f t="shared" ref="AE6:AE8" si="6">AC6/$AC$4</f>
        <v>2.505956722586919</v>
      </c>
      <c r="AF6" s="1"/>
      <c r="AG6" s="1"/>
      <c r="AH6" s="18" t="s">
        <v>17</v>
      </c>
      <c r="AI6" s="7">
        <f>C32</f>
        <v>5.636685298196948</v>
      </c>
      <c r="AJ6" s="20">
        <f t="shared" si="3"/>
        <v>3.837685298196948</v>
      </c>
      <c r="AK6" s="22">
        <f t="shared" ref="AK6:AK8" si="7">AI6/$AI$4</f>
        <v>3.1332325170633397</v>
      </c>
      <c r="AL6" s="1"/>
      <c r="AM6" s="1"/>
      <c r="AN6" s="18" t="s">
        <v>17</v>
      </c>
      <c r="AO6" s="7">
        <f>C34</f>
        <v>5.3707904299583902</v>
      </c>
      <c r="AP6" s="20">
        <f t="shared" si="4"/>
        <v>3.3777904299583899</v>
      </c>
      <c r="AQ6" s="22">
        <f t="shared" ref="AQ6:AQ8" si="8">AO6/$AO$4</f>
        <v>2.6948271098637178</v>
      </c>
      <c r="AR6" s="1"/>
      <c r="AS6" s="1"/>
      <c r="AT6" s="18" t="s">
        <v>17</v>
      </c>
      <c r="AU6" s="7">
        <f>C35</f>
        <v>5.3350518723994442</v>
      </c>
      <c r="AV6" s="20">
        <f>AU6-$U$4</f>
        <v>3.406051872399444</v>
      </c>
      <c r="AW6" s="22">
        <f t="shared" ref="AW6:AW8" si="9">AU6/$U$4</f>
        <v>2.7657085911868555</v>
      </c>
      <c r="AX6" s="1"/>
      <c r="AY6" s="1"/>
      <c r="AZ6" s="113" t="s">
        <v>83</v>
      </c>
      <c r="BA6" s="114" t="s">
        <v>55</v>
      </c>
      <c r="BB6" s="115" t="s">
        <v>59</v>
      </c>
      <c r="BC6" s="1"/>
      <c r="BD6" s="1"/>
      <c r="BE6" s="1"/>
      <c r="BF6" s="1"/>
      <c r="BG6" s="1"/>
      <c r="BH6" s="1"/>
      <c r="BI6" s="1"/>
      <c r="BJ6" s="1"/>
      <c r="BK6" s="1"/>
      <c r="BL6" s="1"/>
      <c r="BM6" s="1"/>
      <c r="BN6" s="1"/>
      <c r="BO6" s="1"/>
      <c r="BP6" s="1"/>
      <c r="BQ6" s="1"/>
      <c r="BR6" s="1"/>
      <c r="BS6" s="1"/>
    </row>
    <row r="7" spans="1:71" ht="15" customHeight="1" x14ac:dyDescent="0.25">
      <c r="A7" s="1"/>
      <c r="B7" s="16">
        <v>75</v>
      </c>
      <c r="C7" s="7">
        <v>3.7130000000000001</v>
      </c>
      <c r="D7" s="6">
        <v>4.3999999999999997E-2</v>
      </c>
      <c r="E7" s="21">
        <f t="shared" si="0"/>
        <v>1.1850255857796929E-2</v>
      </c>
      <c r="F7" s="8"/>
      <c r="G7" s="8"/>
      <c r="H7" s="8"/>
      <c r="I7" s="8"/>
      <c r="J7" s="8"/>
      <c r="K7" s="17">
        <v>75</v>
      </c>
      <c r="L7" s="7">
        <v>1.304</v>
      </c>
      <c r="M7" s="9">
        <v>0.20899999999999999</v>
      </c>
      <c r="N7" s="21">
        <f t="shared" si="1"/>
        <v>0.16027607361963189</v>
      </c>
      <c r="O7" s="1"/>
      <c r="P7" s="1"/>
      <c r="Q7" s="1"/>
      <c r="R7" s="1"/>
      <c r="S7" s="1"/>
      <c r="T7" s="18" t="s">
        <v>24</v>
      </c>
      <c r="U7" s="7">
        <f>L17</f>
        <v>8.4789999999999992</v>
      </c>
      <c r="V7" s="20">
        <f>U7-$U$4</f>
        <v>6.5499999999999989</v>
      </c>
      <c r="W7" s="22">
        <f t="shared" si="5"/>
        <v>4.3955417314670813</v>
      </c>
      <c r="X7" s="475"/>
      <c r="Y7" s="1"/>
      <c r="Z7" s="1"/>
      <c r="AA7" s="1"/>
      <c r="AB7" s="18" t="s">
        <v>24</v>
      </c>
      <c r="AC7" s="7">
        <f>L15</f>
        <v>10.663</v>
      </c>
      <c r="AD7" s="20">
        <f t="shared" si="2"/>
        <v>6.55</v>
      </c>
      <c r="AE7" s="22">
        <f t="shared" si="6"/>
        <v>2.5925115487478725</v>
      </c>
      <c r="AF7" s="1"/>
      <c r="AG7" s="1"/>
      <c r="AH7" s="18" t="s">
        <v>24</v>
      </c>
      <c r="AI7" s="7">
        <f>L16</f>
        <v>8.3490000000000002</v>
      </c>
      <c r="AJ7" s="20">
        <f t="shared" si="3"/>
        <v>6.5500000000000007</v>
      </c>
      <c r="AK7" s="22">
        <f t="shared" si="7"/>
        <v>4.6409116175653145</v>
      </c>
      <c r="AL7" s="1"/>
      <c r="AM7" s="1"/>
      <c r="AN7" s="18" t="s">
        <v>24</v>
      </c>
      <c r="AO7" s="7">
        <f>L18</f>
        <v>8.5429999999999993</v>
      </c>
      <c r="AP7" s="20">
        <f t="shared" si="4"/>
        <v>6.5499999999999989</v>
      </c>
      <c r="AQ7" s="22">
        <f t="shared" si="8"/>
        <v>4.2865027596588048</v>
      </c>
      <c r="AR7" s="1"/>
      <c r="AS7" s="1"/>
      <c r="AT7" s="18" t="s">
        <v>24</v>
      </c>
      <c r="AU7" s="7">
        <f>L19</f>
        <v>8.6159999999999997</v>
      </c>
      <c r="AV7" s="20">
        <f>AU7-$U$4</f>
        <v>6.6869999999999994</v>
      </c>
      <c r="AW7" s="22">
        <f t="shared" si="9"/>
        <v>4.46656298600311</v>
      </c>
      <c r="AX7" s="1"/>
      <c r="AY7" s="1"/>
      <c r="AZ7" s="116" t="s">
        <v>53</v>
      </c>
      <c r="BA7" s="117" t="s">
        <v>55</v>
      </c>
      <c r="BB7" s="118" t="s">
        <v>82</v>
      </c>
      <c r="BC7" s="1"/>
      <c r="BD7" s="1"/>
      <c r="BE7" s="1"/>
      <c r="BF7" s="1"/>
      <c r="BG7" s="1"/>
      <c r="BH7" s="1"/>
      <c r="BI7" s="1"/>
      <c r="BJ7" s="1"/>
      <c r="BK7" s="1"/>
      <c r="BL7" s="1"/>
      <c r="BM7" s="1"/>
      <c r="BN7" s="1"/>
      <c r="BO7" s="1"/>
      <c r="BP7" s="1"/>
      <c r="BQ7" s="1"/>
      <c r="BR7" s="1"/>
      <c r="BS7" s="1"/>
    </row>
    <row r="8" spans="1:71" x14ac:dyDescent="0.25">
      <c r="A8" s="1"/>
      <c r="B8" s="16">
        <v>100</v>
      </c>
      <c r="C8" s="7">
        <v>3.6880000000000002</v>
      </c>
      <c r="D8" s="6">
        <v>5.2999999999999999E-2</v>
      </c>
      <c r="E8" s="21">
        <f t="shared" si="0"/>
        <v>1.4370932754880694E-2</v>
      </c>
      <c r="F8" s="8"/>
      <c r="G8" s="8"/>
      <c r="H8" s="8"/>
      <c r="I8" s="8"/>
      <c r="J8" s="8"/>
      <c r="K8" s="17">
        <v>100</v>
      </c>
      <c r="L8" s="7">
        <v>1.276</v>
      </c>
      <c r="M8" s="9">
        <v>9.1999999999999998E-2</v>
      </c>
      <c r="N8" s="21">
        <f t="shared" si="1"/>
        <v>7.2100313479623826E-2</v>
      </c>
      <c r="O8" s="1"/>
      <c r="P8" s="1"/>
      <c r="Q8" s="1"/>
      <c r="R8" s="1"/>
      <c r="S8" s="1"/>
      <c r="T8" s="18" t="s">
        <v>20</v>
      </c>
      <c r="U8" s="7">
        <f>L25</f>
        <v>11.448919160812851</v>
      </c>
      <c r="V8" s="20">
        <f>U8-$U$4</f>
        <v>9.5199191608128508</v>
      </c>
      <c r="W8" s="22">
        <f t="shared" si="5"/>
        <v>5.9351576779745212</v>
      </c>
      <c r="X8" s="475"/>
      <c r="Y8" s="1"/>
      <c r="Z8" s="1"/>
      <c r="AA8" s="1"/>
      <c r="AB8" s="18" t="s">
        <v>20</v>
      </c>
      <c r="AC8" s="7">
        <f>L23</f>
        <v>17.971919999999997</v>
      </c>
      <c r="AD8" s="20">
        <f t="shared" si="2"/>
        <v>13.858919999999998</v>
      </c>
      <c r="AE8" s="22">
        <f t="shared" si="6"/>
        <v>4.3695404814004366</v>
      </c>
      <c r="AF8" s="1"/>
      <c r="AG8" s="1"/>
      <c r="AH8" s="18" t="s">
        <v>20</v>
      </c>
      <c r="AI8" s="7">
        <f>L24</f>
        <v>11.573447609942512</v>
      </c>
      <c r="AJ8" s="20">
        <f t="shared" si="3"/>
        <v>9.7744476099425128</v>
      </c>
      <c r="AK8" s="22">
        <f t="shared" si="7"/>
        <v>6.4332671539424755</v>
      </c>
      <c r="AL8" s="1"/>
      <c r="AM8" s="1"/>
      <c r="AN8" s="18" t="s">
        <v>20</v>
      </c>
      <c r="AO8" s="7">
        <f>L26</f>
        <v>11.423295975617245</v>
      </c>
      <c r="AP8" s="20">
        <f t="shared" si="4"/>
        <v>9.4302959756172449</v>
      </c>
      <c r="AQ8" s="22">
        <f t="shared" si="8"/>
        <v>5.7317089692008256</v>
      </c>
      <c r="AR8" s="1"/>
      <c r="AS8" s="1"/>
      <c r="AT8" s="18" t="s">
        <v>20</v>
      </c>
      <c r="AU8" s="7">
        <f>L27</f>
        <v>11.433436222127098</v>
      </c>
      <c r="AV8" s="20">
        <f>AU8-$U$4</f>
        <v>9.5044362221270973</v>
      </c>
      <c r="AW8" s="22">
        <f t="shared" si="9"/>
        <v>5.9271312711908228</v>
      </c>
      <c r="AX8" s="1"/>
      <c r="AY8" s="1"/>
      <c r="AZ8" s="116" t="s">
        <v>75</v>
      </c>
      <c r="BA8" s="117" t="s">
        <v>55</v>
      </c>
      <c r="BB8" s="118" t="s">
        <v>82</v>
      </c>
      <c r="BC8" s="1"/>
      <c r="BD8" s="1"/>
      <c r="BE8" s="1"/>
      <c r="BF8" s="1"/>
      <c r="BG8" s="1"/>
      <c r="BH8" s="1"/>
      <c r="BI8" s="1"/>
      <c r="BJ8" s="1"/>
      <c r="BK8" s="1"/>
      <c r="BL8" s="1"/>
      <c r="BM8" s="1"/>
      <c r="BN8" s="1"/>
      <c r="BO8" s="1"/>
      <c r="BP8" s="1"/>
      <c r="BQ8" s="1"/>
      <c r="BR8" s="1"/>
      <c r="BS8" s="1"/>
    </row>
    <row r="9" spans="1:71" x14ac:dyDescent="0.25">
      <c r="A9" s="1"/>
      <c r="B9" s="51"/>
      <c r="C9" s="12"/>
      <c r="D9" s="52"/>
      <c r="E9" s="53"/>
      <c r="F9" s="8"/>
      <c r="G9" s="8"/>
      <c r="H9" s="8"/>
      <c r="I9" s="8"/>
      <c r="J9" s="8"/>
      <c r="K9" s="54"/>
      <c r="L9" s="12"/>
      <c r="M9" s="55"/>
      <c r="N9" s="53"/>
      <c r="O9" s="1"/>
      <c r="P9" s="1"/>
      <c r="Q9" s="1"/>
      <c r="R9" s="1"/>
      <c r="S9" s="1"/>
      <c r="T9" s="56"/>
      <c r="U9" s="12"/>
      <c r="V9" s="57"/>
      <c r="W9" s="58"/>
      <c r="X9" s="1"/>
      <c r="Y9" s="1"/>
      <c r="Z9" s="1"/>
      <c r="AA9" s="1"/>
      <c r="AB9" s="56"/>
      <c r="AC9" s="12"/>
      <c r="AD9" s="57"/>
      <c r="AE9" s="58"/>
      <c r="AF9" s="1"/>
      <c r="AG9" s="1"/>
      <c r="AH9" s="56"/>
      <c r="AI9" s="12"/>
      <c r="AJ9" s="57"/>
      <c r="AK9" s="58"/>
      <c r="AL9" s="1"/>
      <c r="AM9" s="1"/>
      <c r="AN9" s="56"/>
      <c r="AO9" s="12"/>
      <c r="AP9" s="57"/>
      <c r="AQ9" s="58"/>
      <c r="AR9" s="1"/>
      <c r="AS9" s="1"/>
      <c r="AT9" s="56"/>
      <c r="AU9" s="12"/>
      <c r="AV9" s="57"/>
      <c r="AW9" s="58"/>
      <c r="AX9" s="1"/>
      <c r="AY9" s="1"/>
      <c r="AZ9" s="119" t="s">
        <v>84</v>
      </c>
      <c r="BA9" s="120" t="s">
        <v>55</v>
      </c>
      <c r="BB9" s="121" t="s">
        <v>82</v>
      </c>
      <c r="BC9" s="1"/>
      <c r="BD9" s="1"/>
      <c r="BE9" s="1"/>
      <c r="BF9" s="1"/>
      <c r="BG9" s="1"/>
      <c r="BH9" s="1"/>
      <c r="BI9" s="1"/>
      <c r="BJ9" s="1"/>
      <c r="BK9" s="1"/>
      <c r="BL9" s="1"/>
      <c r="BM9" s="1"/>
      <c r="BN9" s="1"/>
      <c r="BO9" s="1"/>
      <c r="BP9" s="1"/>
      <c r="BQ9" s="1"/>
      <c r="BR9" s="1"/>
      <c r="BS9" s="1"/>
    </row>
    <row r="10" spans="1:71" x14ac:dyDescent="0.25">
      <c r="A10" s="1"/>
      <c r="B10" s="51"/>
      <c r="C10" s="12"/>
      <c r="D10" s="52"/>
      <c r="E10" s="53"/>
      <c r="F10" s="8"/>
      <c r="G10" s="8"/>
      <c r="H10" s="8"/>
      <c r="I10" s="8"/>
      <c r="J10" s="8"/>
      <c r="K10" s="54"/>
      <c r="L10" s="12"/>
      <c r="M10" s="55"/>
      <c r="N10" s="53"/>
      <c r="O10" s="1"/>
      <c r="P10" s="1"/>
      <c r="Q10" s="1"/>
      <c r="R10" s="1"/>
      <c r="S10" s="1"/>
      <c r="T10" s="56"/>
      <c r="U10" s="12"/>
      <c r="V10" s="57"/>
      <c r="W10" s="58"/>
      <c r="X10" s="1"/>
      <c r="Y10" s="1"/>
      <c r="Z10" s="1"/>
      <c r="AA10" s="1"/>
      <c r="AB10" s="56"/>
      <c r="AC10" s="12"/>
      <c r="AD10" s="57"/>
      <c r="AE10" s="58"/>
      <c r="AF10" s="1"/>
      <c r="AG10" s="1"/>
      <c r="AH10" s="56"/>
      <c r="AI10" s="12"/>
      <c r="AJ10" s="57"/>
      <c r="AK10" s="58"/>
      <c r="AL10" s="1"/>
      <c r="AM10" s="1"/>
      <c r="AN10" s="56"/>
      <c r="AO10" s="12"/>
      <c r="AP10" s="57"/>
      <c r="AQ10" s="58"/>
      <c r="AR10" s="1"/>
      <c r="AS10" s="1"/>
      <c r="AT10" s="56"/>
      <c r="AU10" s="12"/>
      <c r="AV10" s="57"/>
      <c r="AW10" s="58"/>
      <c r="AX10" s="1"/>
      <c r="AY10" s="1"/>
      <c r="AZ10" s="119" t="s">
        <v>85</v>
      </c>
      <c r="BA10" s="120" t="s">
        <v>55</v>
      </c>
      <c r="BB10" s="121" t="s">
        <v>59</v>
      </c>
      <c r="BC10" s="1"/>
      <c r="BD10" s="1"/>
      <c r="BE10" s="1"/>
      <c r="BF10" s="1"/>
      <c r="BG10" s="1"/>
      <c r="BH10" s="1"/>
      <c r="BI10" s="1"/>
      <c r="BJ10" s="1"/>
      <c r="BK10" s="1"/>
      <c r="BL10" s="1"/>
      <c r="BM10" s="1"/>
      <c r="BN10" s="1"/>
      <c r="BO10" s="1"/>
      <c r="BP10" s="1"/>
      <c r="BQ10" s="1"/>
      <c r="BR10" s="1"/>
      <c r="BS10" s="1"/>
    </row>
    <row r="11" spans="1:71" x14ac:dyDescent="0.25">
      <c r="A11" s="1"/>
      <c r="B11" s="8"/>
      <c r="C11" s="8"/>
      <c r="D11" s="8"/>
      <c r="E11" s="8"/>
      <c r="F11" s="8"/>
      <c r="G11" s="8"/>
      <c r="H11" s="8"/>
      <c r="I11" s="8"/>
      <c r="J11" s="8"/>
      <c r="K11" s="8"/>
      <c r="L11" s="8"/>
      <c r="M11" s="8"/>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22" t="s">
        <v>125</v>
      </c>
      <c r="BA11" s="123" t="s">
        <v>55</v>
      </c>
      <c r="BB11" s="124" t="s">
        <v>82</v>
      </c>
      <c r="BC11" s="1"/>
      <c r="BD11" s="1"/>
      <c r="BE11" s="1"/>
      <c r="BF11" s="1"/>
      <c r="BG11" s="1"/>
      <c r="BH11" s="1"/>
      <c r="BI11" s="1"/>
      <c r="BJ11" s="1"/>
      <c r="BK11" s="1"/>
      <c r="BL11" s="1"/>
      <c r="BM11" s="1"/>
      <c r="BN11" s="1"/>
      <c r="BO11" s="1"/>
      <c r="BP11" s="1"/>
      <c r="BQ11" s="1"/>
      <c r="BR11" s="1"/>
      <c r="BS11" s="1"/>
    </row>
    <row r="12" spans="1:71" x14ac:dyDescent="0.25">
      <c r="A12" s="1"/>
      <c r="B12" s="8"/>
      <c r="C12" s="8"/>
      <c r="D12" s="8"/>
      <c r="E12" s="8"/>
      <c r="F12" s="8"/>
      <c r="G12" s="8"/>
      <c r="H12" s="8"/>
      <c r="I12" s="8"/>
      <c r="J12" s="8"/>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x14ac:dyDescent="0.25">
      <c r="A13" s="1"/>
      <c r="B13" s="8" t="s">
        <v>5</v>
      </c>
      <c r="C13" s="8"/>
      <c r="D13" s="8"/>
      <c r="E13" s="8"/>
      <c r="F13" s="8"/>
      <c r="G13" s="8"/>
      <c r="H13" s="8"/>
      <c r="I13" s="8"/>
      <c r="J13" s="8"/>
      <c r="K13" s="8" t="s">
        <v>206</v>
      </c>
      <c r="L13" s="8"/>
      <c r="M13" s="8"/>
      <c r="N13" s="8"/>
      <c r="O13" s="1"/>
      <c r="P13" s="1"/>
      <c r="Q13" s="1"/>
      <c r="R13" s="1"/>
      <c r="S13" s="1"/>
      <c r="T13" s="19" t="s">
        <v>29</v>
      </c>
      <c r="U13" s="19" t="s">
        <v>8</v>
      </c>
      <c r="V13" s="19" t="s">
        <v>12</v>
      </c>
      <c r="W13" s="19" t="s">
        <v>13</v>
      </c>
      <c r="X13" s="1"/>
      <c r="Y13" s="1"/>
      <c r="Z13" s="1"/>
      <c r="AA13" s="1"/>
      <c r="AB13" s="19" t="s">
        <v>31</v>
      </c>
      <c r="AC13" s="19" t="s">
        <v>8</v>
      </c>
      <c r="AD13" s="19" t="s">
        <v>12</v>
      </c>
      <c r="AE13" s="19" t="s">
        <v>13</v>
      </c>
      <c r="AF13" s="1"/>
      <c r="AG13" s="1"/>
      <c r="AH13" s="19" t="s">
        <v>43</v>
      </c>
      <c r="AI13" s="19" t="s">
        <v>8</v>
      </c>
      <c r="AJ13" s="19" t="s">
        <v>12</v>
      </c>
      <c r="AK13" s="19" t="s">
        <v>13</v>
      </c>
      <c r="AL13" s="1"/>
      <c r="AM13" s="1"/>
      <c r="AN13" s="19" t="s">
        <v>45</v>
      </c>
      <c r="AO13" s="19" t="s">
        <v>8</v>
      </c>
      <c r="AP13" s="19" t="s">
        <v>12</v>
      </c>
      <c r="AQ13" s="19" t="s">
        <v>13</v>
      </c>
      <c r="AR13" s="1"/>
      <c r="AS13" s="1"/>
      <c r="AT13" s="19" t="s">
        <v>47</v>
      </c>
      <c r="AU13" s="19" t="s">
        <v>8</v>
      </c>
      <c r="AV13" s="19" t="s">
        <v>12</v>
      </c>
      <c r="AW13" s="19" t="s">
        <v>13</v>
      </c>
      <c r="AX13" s="1"/>
      <c r="AY13" s="1"/>
      <c r="AZ13" s="1"/>
      <c r="BA13" s="125" t="s">
        <v>86</v>
      </c>
      <c r="BB13" s="126">
        <f>IF(AND(BB4=100,BB5=0,BB6="No",BB7="No",BB8="No"),AU4,IF(AND(BB4=100,BB5=3.68,BB6="No",BB7="No",BB8="No"),AU5,IF(AND(BB4=100,BB5=7.36,BB6="No",BB7="No",BB8="No"),AU6,IF(AND(BB4=100,BB5=0,BB6="Yes",BB7="No",BB8="No"),AU7,IF(AND(BB4=100,BB5=7.36,BB6="Yes",BB7="No",BB8="No"),AU8,IF(AND(BB4=100,BB5=0,BB6="No",BB7="Yes",BB8="No"),AU15,IF(AND(BB4=100,BB5=3.68,BB6="No",BB7="Yes",BB8="No"),AU16,IF(AND(BB4=100,BB5=7.36,BB6="No",BB7="Yes",BB8="No"),AU17,IF(AND(BB4=100,BB5=0,BB6="Yes",BB7="Yes",BB8="No"),AU18,IF(AND(BB4=100,BB5=7.36,BB6="Yes",BB7="Yes",BB8="No"),AU19,IF(AND(BB4=100,BB5=0,BB6="No",BB7="Yes",BB8="Yes"),AU23,IF(AND(BB4=100,BB5=3.68,BB6="No",BB7="Yes",BB8="Yes"),AU24,IF(AND(BB4=100,BB5=7.36,BB6="No",BB7="Yes",BB8="Yes"),AU25,IF(AND(BB4=100,BB5=0,BB6="Yes",BB7="Yes",BB8="Yes"),AU26,IF(AND(BB4=100,BB5=7.36,BB6="Yes",BB7="Yes",BB8="Yes"),AU27,IF(AND(BB4=1,BB5=0,BB6="No",BB7="No",BB8="No"),AC4,IF(AND(BB4=1,BB5=3.68,BB6="No",BB7="No",BB8="No"),AC5,IF(AND(BB4=1,BB5=7.36,BB6="No",BB7="No",BB8="No"),AC6,IF(AND(BB4=1,BB5=0,BB6="Yes",BB7="No",BB8="No"),AC7,IF(AND(BB4=1,BB5=7.36,BB6="Yes",BB7="No",BB8="No"),AC8,IF(AND(BB4=1,BB5=0,BB6="No",BB7="Yes",BB8="No"),AC15,IF(AND(BB4=1,BB5=3.68,BB6="No",BB7="Yes",BB8="No"),AC16,IF(AND(BB4=1,BB5=7.36,BB6="No",BB7="Yes",BB8="No"),AC17,IF(AND(BB4=1,BB5=0,BB6="Yes",BB7="Yes",BB8="No"),AC18,IF(AND(BB4=1,BB5=7.36,BB6="Yes",BB7="Yes",BB8="No"),AC19,IF(AND(BB4=1,BB5=0,BB6="No",BB7="Yes",BB8="Yes"),AC23,IF(AND(BB4=1,BB5=3.68,BB6="No",BB7="Yes",BB8="Yes"),AC24,IF(AND(BB4=1,BB5=7.36,BB6="No",BB7="Yes",BB8="Yes"),AC25,IF(AND(BB4=1,BB5=0,BB6="Yes",BB7="Yes",BB8="Yes"),AC26,IF(AND(BB4=1,BB5=7.36,BB6="Yes",BB7="Yes",BB8="Yes"),AC27,IF(AND(BB4=25,BB5=0,BB6="No",BB7="No",BB8="No"),AI4,IF(AND(BB4=25,BB5=3.68,BB6="No",BB7="No",BB8="No"),AI5,IF(AND(BB4=25,BB5=7.36,BB6="No",BB7="No",BB8="No"),AI6,IF(AND(BB4=25,BB5=0,BB6="Yes",BB7="No",BB8="No"),AI7,IF(AND(BB4=25,BB5=7.36,BB6="Yes",BB7="No",BB8="No"),AI8,IF(AND(BB4=25,BB5=0,BB6="No",BB7="Yes",BB8="No"),AI15,IF(AND(BB4=25,BB5=3.68,BB6="No",BB7="Yes",BB8="No"),AI16,IF(AND(BB4=25,BB5=7.36,BB6="No",BB7="Yes",BB8="No"),AI17,IF(AND(BB4=25,BB5=0,BB6="Yes",BB7="Yes",BB8="No"),AI18,IF(AND(BB4=25,BB5=7.36,BB6="Yes",BB7="Yes",BB8="No"),AI19,IF(AND(BB4=25,BB5=0,BB6="No",BB7="Yes",BB8="Yes"),AI23,IF(AND(BB4=25,BB5=3.68,BB6="No",BB7="Yes",BB8="Yes"),AI24,IF(AND(BB4=25,BB5=7.36,BB6="No",BB7="Yes",BB8="Yes"),AI25,IF(AND(BB4=25,BB5=0,BB6="Yes",BB7="Yes",BB8="Yes"),AI26,IF(AND(BB4=25,BB5=7.36,BB6="Yes",BB7="Yes",BB8="Yes"),AI27,IF(AND(BB4=50,BB5=0,BB6="No",BB7="No",BB8="No"),U4,IF(AND(BB4=50,BB5=3.68,BB6="No",BB7="No",BB8="No"),U5,IF(AND(BB4=50,BB5=7.36,BB6="No",BB7="No",BB8="No"),U6,IF(AND(BB4=50,BB5=0,BB6="Yes",BB7="No",BB8="No"),U7,IF(AND(BB4=50,BB5=7.36,BB6="Yes",BB7="No",BB8="No"),U8,IF(AND(BB4=50,BB5=0,BB6="No",BB7="Yes",BB8="No"),U15,IF(AND(BB4=50,BB5=3.68,BB6="No",BB7="Yes",BB8="No"),U16,IF(AND(BB4=50,BB5=7.36,BB6="No",BB7="Yes",BB8="No"),U17,IF(AND(BB4=50,BB5=0,BB6="Yes",BB7="Yes",BB8="No"),U18,IF(AND(BB4=50,BB5=7.36,BB6="Yes",BB7="Yes",BB8="No"),U19,IF(AND(BB4=50,BB5=0,BB6="No",BB7="Yes",BB8="Yes"),U23,IF(AND(BB4=50,BB5=3.68,BB6="No",BB7="Yes",BB8="Yes"),U24,IF(AND(BB4=50,BB5=7.36,BB6="No",BB7="Yes",BB8="Yes"),U25,IF(AND(BB4=50,BB5=0,BB6="Yes",BB7="Yes",BB8="Yes"),U26,IF(AND(BB4=50,BB5=7.36,BB6="Yes",BB7="Yes",BB8="Yes"),U27,"N/A"))))))))))))))))))))))))))))))))))))))))))))))))))))))))))))</f>
        <v>8.3490000000000002</v>
      </c>
      <c r="BC13" s="1"/>
      <c r="BD13" s="1"/>
      <c r="BE13" s="1"/>
      <c r="BF13" s="1"/>
      <c r="BG13" s="1"/>
      <c r="BH13" s="1"/>
      <c r="BI13" s="1"/>
      <c r="BJ13" s="1"/>
      <c r="BK13" s="1"/>
      <c r="BL13" s="1"/>
      <c r="BM13" s="1"/>
      <c r="BN13" s="1"/>
      <c r="BO13" s="1"/>
      <c r="BP13" s="1"/>
      <c r="BQ13" s="1"/>
      <c r="BR13" s="1"/>
      <c r="BS13" s="1"/>
    </row>
    <row r="14" spans="1:71" x14ac:dyDescent="0.25">
      <c r="A14" s="1"/>
      <c r="B14" s="11" t="s">
        <v>0</v>
      </c>
      <c r="C14" s="11" t="s">
        <v>1</v>
      </c>
      <c r="D14" s="11" t="s">
        <v>2</v>
      </c>
      <c r="E14" s="11" t="s">
        <v>3</v>
      </c>
      <c r="F14" s="8"/>
      <c r="G14" s="8"/>
      <c r="H14" s="8"/>
      <c r="I14" s="8"/>
      <c r="J14" s="8"/>
      <c r="K14" s="15" t="s">
        <v>0</v>
      </c>
      <c r="L14" s="15" t="s">
        <v>1</v>
      </c>
      <c r="M14" s="15" t="s">
        <v>2</v>
      </c>
      <c r="N14" s="15" t="s">
        <v>3</v>
      </c>
      <c r="O14" s="1"/>
      <c r="P14" s="1"/>
      <c r="Q14" s="1"/>
      <c r="R14" s="1"/>
      <c r="S14" s="1"/>
      <c r="T14" s="18" t="s">
        <v>21</v>
      </c>
      <c r="U14" s="7">
        <v>1.93</v>
      </c>
      <c r="V14" s="20">
        <v>0</v>
      </c>
      <c r="W14" s="22">
        <v>0</v>
      </c>
      <c r="X14" s="1"/>
      <c r="Y14" s="1"/>
      <c r="Z14" s="1"/>
      <c r="AA14" s="1"/>
      <c r="AB14" s="18" t="s">
        <v>21</v>
      </c>
      <c r="AC14" s="7">
        <v>4.1100000000000003</v>
      </c>
      <c r="AD14" s="20">
        <v>0</v>
      </c>
      <c r="AE14" s="22">
        <v>0</v>
      </c>
      <c r="AF14" s="1"/>
      <c r="AG14" s="1"/>
      <c r="AH14" s="18" t="s">
        <v>21</v>
      </c>
      <c r="AI14" s="7">
        <v>1.8</v>
      </c>
      <c r="AJ14" s="20">
        <v>0</v>
      </c>
      <c r="AK14" s="22">
        <v>0</v>
      </c>
      <c r="AL14" s="1"/>
      <c r="AM14" s="1"/>
      <c r="AN14" s="18" t="s">
        <v>21</v>
      </c>
      <c r="AO14" s="7">
        <v>1.99</v>
      </c>
      <c r="AP14" s="20">
        <v>0</v>
      </c>
      <c r="AQ14" s="22">
        <v>0</v>
      </c>
      <c r="AR14" s="1"/>
      <c r="AS14" s="1"/>
      <c r="AT14" s="18" t="s">
        <v>21</v>
      </c>
      <c r="AU14" s="7">
        <v>2.0699999999999998</v>
      </c>
      <c r="AV14" s="20">
        <v>0</v>
      </c>
      <c r="AW14" s="22">
        <v>0</v>
      </c>
      <c r="AX14" s="1"/>
      <c r="AY14" s="1"/>
      <c r="AZ14" s="1"/>
      <c r="BA14" s="1"/>
      <c r="BB14" s="1"/>
      <c r="BC14" s="1"/>
      <c r="BD14" s="1"/>
      <c r="BE14" s="1"/>
      <c r="BF14" s="1"/>
      <c r="BG14" s="1"/>
      <c r="BH14" s="1"/>
      <c r="BI14" s="1"/>
      <c r="BJ14" s="1"/>
      <c r="BK14" s="1"/>
      <c r="BL14" s="1"/>
      <c r="BM14" s="1"/>
      <c r="BN14" s="1"/>
      <c r="BO14" s="1"/>
      <c r="BP14" s="1"/>
      <c r="BQ14" s="1"/>
      <c r="BR14" s="1"/>
      <c r="BS14" s="1"/>
    </row>
    <row r="15" spans="1:71" x14ac:dyDescent="0.25">
      <c r="A15" s="1"/>
      <c r="B15" s="16">
        <v>1</v>
      </c>
      <c r="C15" s="7">
        <v>4.1130000000000004</v>
      </c>
      <c r="D15" s="6">
        <v>0.76900000000000002</v>
      </c>
      <c r="E15" s="21">
        <f>D15/C15</f>
        <v>0.18696814976902504</v>
      </c>
      <c r="F15" s="8"/>
      <c r="G15" s="8"/>
      <c r="H15" s="8"/>
      <c r="I15" s="8"/>
      <c r="J15" s="8"/>
      <c r="K15" s="17">
        <v>1</v>
      </c>
      <c r="L15" s="7">
        <f>C15+6.55</f>
        <v>10.663</v>
      </c>
      <c r="M15" s="9">
        <v>1.98</v>
      </c>
      <c r="N15" s="21">
        <f>M15/L15</f>
        <v>0.18568883053549656</v>
      </c>
      <c r="O15" s="1"/>
      <c r="P15" s="7">
        <v>5.7279999999999998</v>
      </c>
      <c r="Q15" s="1"/>
      <c r="R15" s="1"/>
      <c r="S15" s="1"/>
      <c r="T15" s="18" t="s">
        <v>33</v>
      </c>
      <c r="U15" s="7">
        <v>1.17669</v>
      </c>
      <c r="V15" s="20">
        <v>-0.75330999999999992</v>
      </c>
      <c r="W15" s="22">
        <v>0.60968393782383423</v>
      </c>
      <c r="X15" s="1"/>
      <c r="Y15" s="1"/>
      <c r="Z15" s="1"/>
      <c r="AA15" s="1"/>
      <c r="AB15" s="18" t="s">
        <v>39</v>
      </c>
      <c r="AC15" s="7">
        <v>2.5089300000000003</v>
      </c>
      <c r="AD15" s="20">
        <v>-1.60107</v>
      </c>
      <c r="AE15" s="22">
        <v>0.61044525547445261</v>
      </c>
      <c r="AF15" s="1"/>
      <c r="AG15" s="1"/>
      <c r="AH15" s="18" t="s">
        <v>39</v>
      </c>
      <c r="AI15" s="7">
        <v>1.0973899999999999</v>
      </c>
      <c r="AJ15" s="20">
        <v>-0.70261000000000018</v>
      </c>
      <c r="AK15" s="22">
        <v>0.60966111111111099</v>
      </c>
      <c r="AL15" s="1"/>
      <c r="AM15" s="1"/>
      <c r="AN15" s="18" t="s">
        <v>39</v>
      </c>
      <c r="AO15" s="7">
        <v>1.21573</v>
      </c>
      <c r="AP15" s="20">
        <v>-0.77427000000000001</v>
      </c>
      <c r="AQ15" s="22">
        <v>0.61091959798994977</v>
      </c>
      <c r="AR15" s="1"/>
      <c r="AS15" s="1"/>
      <c r="AT15" s="18" t="s">
        <v>39</v>
      </c>
      <c r="AU15" s="7">
        <v>1.2602599999999999</v>
      </c>
      <c r="AV15" s="20">
        <v>-0.8097399999999999</v>
      </c>
      <c r="AW15" s="22">
        <v>0.60882125603864734</v>
      </c>
      <c r="AX15" s="1"/>
      <c r="AY15" s="1"/>
      <c r="BA15" s="125" t="s">
        <v>87</v>
      </c>
      <c r="BB15" s="127">
        <f>BB13+ IF(AND(BB10="Yes",BB6="Yes"),(3.68*0.8),0)+ IF(BB9="Yes",(3.68*0.5),0)</f>
        <v>11.293000000000001</v>
      </c>
      <c r="BC15" s="1"/>
      <c r="BD15" s="1"/>
      <c r="BE15" s="1"/>
      <c r="BF15" s="1"/>
      <c r="BG15" s="1"/>
      <c r="BH15" s="1"/>
      <c r="BI15" s="1"/>
      <c r="BJ15" s="1"/>
      <c r="BK15" s="1"/>
      <c r="BL15" s="1"/>
      <c r="BM15" s="1"/>
      <c r="BN15" s="1"/>
      <c r="BO15" s="1"/>
      <c r="BP15" s="1"/>
      <c r="BQ15" s="1"/>
      <c r="BR15" s="1"/>
      <c r="BS15" s="1"/>
    </row>
    <row r="16" spans="1:71" x14ac:dyDescent="0.25">
      <c r="A16" s="1"/>
      <c r="B16" s="16">
        <v>25</v>
      </c>
      <c r="C16" s="7">
        <v>1.7989999999999999</v>
      </c>
      <c r="D16" s="6">
        <v>0.34300000000000003</v>
      </c>
      <c r="E16" s="21">
        <f t="shared" ref="E16:E19" si="10">D16/C16</f>
        <v>0.19066147859922181</v>
      </c>
      <c r="F16" s="8"/>
      <c r="G16" s="8"/>
      <c r="H16" s="8"/>
      <c r="I16" s="8"/>
      <c r="J16" s="8"/>
      <c r="K16" s="17">
        <v>25</v>
      </c>
      <c r="L16" s="7">
        <f t="shared" ref="L16:L19" si="11">C16+6.55</f>
        <v>8.3490000000000002</v>
      </c>
      <c r="M16" s="9">
        <v>0.67300000000000004</v>
      </c>
      <c r="N16" s="21">
        <f t="shared" ref="N16:N19" si="12">M16/L16</f>
        <v>8.0608456102527246E-2</v>
      </c>
      <c r="O16" s="1"/>
      <c r="P16" s="7">
        <v>2.661</v>
      </c>
      <c r="Q16" s="1">
        <f>P15/P16</f>
        <v>2.152574220217963</v>
      </c>
      <c r="R16" s="1"/>
      <c r="S16" s="1"/>
      <c r="T16" s="18" t="s">
        <v>34</v>
      </c>
      <c r="U16" s="28">
        <v>2.3192200000000001</v>
      </c>
      <c r="V16" s="20">
        <v>0.38922000000000012</v>
      </c>
      <c r="W16" s="22">
        <v>1.2016683937823835</v>
      </c>
      <c r="X16" s="1"/>
      <c r="Y16" s="1"/>
      <c r="Z16" s="1"/>
      <c r="AA16" s="1"/>
      <c r="AB16" s="18" t="s">
        <v>34</v>
      </c>
      <c r="AC16" s="7">
        <v>4.3980999999999995</v>
      </c>
      <c r="AD16" s="20">
        <v>0.28809999999999913</v>
      </c>
      <c r="AE16" s="22">
        <v>1.070097323600973</v>
      </c>
      <c r="AF16" s="1"/>
      <c r="AG16" s="1"/>
      <c r="AH16" s="18" t="s">
        <v>34</v>
      </c>
      <c r="AI16" s="7">
        <v>2.40523</v>
      </c>
      <c r="AJ16" s="20">
        <v>0.60522999999999993</v>
      </c>
      <c r="AK16" s="22">
        <v>1.3362388888888888</v>
      </c>
      <c r="AL16" s="1"/>
      <c r="AM16" s="1"/>
      <c r="AN16" s="18" t="s">
        <v>34</v>
      </c>
      <c r="AO16" s="7">
        <v>2.2917700000000001</v>
      </c>
      <c r="AP16" s="20">
        <v>0.30177000000000009</v>
      </c>
      <c r="AQ16" s="22">
        <v>1.151643216080402</v>
      </c>
      <c r="AR16" s="1"/>
      <c r="AS16" s="1"/>
      <c r="AT16" s="18" t="s">
        <v>34</v>
      </c>
      <c r="AU16" s="7">
        <v>2.2765200000000001</v>
      </c>
      <c r="AV16" s="20">
        <v>0.20652000000000026</v>
      </c>
      <c r="AW16" s="22">
        <v>1.0997681159420292</v>
      </c>
      <c r="AX16" s="1"/>
      <c r="AY16" s="1"/>
      <c r="AZ16" s="1"/>
      <c r="BA16" s="1"/>
      <c r="BB16" s="1"/>
      <c r="BC16" s="1"/>
      <c r="BD16" s="1"/>
      <c r="BE16" s="1"/>
      <c r="BF16" s="1"/>
      <c r="BG16" s="1"/>
      <c r="BH16" s="1"/>
      <c r="BI16" s="1"/>
      <c r="BJ16" s="1"/>
      <c r="BK16" s="1"/>
      <c r="BL16" s="1"/>
      <c r="BM16" s="1"/>
      <c r="BN16" s="1"/>
      <c r="BO16" s="1"/>
      <c r="BP16" s="1"/>
      <c r="BQ16" s="1"/>
      <c r="BR16" s="1"/>
      <c r="BS16" s="1"/>
    </row>
    <row r="17" spans="1:71" x14ac:dyDescent="0.25">
      <c r="A17" s="1"/>
      <c r="B17" s="16">
        <v>50</v>
      </c>
      <c r="C17" s="7">
        <v>1.929</v>
      </c>
      <c r="D17" s="6">
        <v>0.35799999999999998</v>
      </c>
      <c r="E17" s="21">
        <f t="shared" si="10"/>
        <v>0.18558838776568168</v>
      </c>
      <c r="F17" s="8"/>
      <c r="G17" s="8"/>
      <c r="H17" s="8"/>
      <c r="I17" s="8"/>
      <c r="J17" s="8"/>
      <c r="K17" s="17">
        <v>50</v>
      </c>
      <c r="L17" s="7">
        <f t="shared" si="11"/>
        <v>8.4789999999999992</v>
      </c>
      <c r="M17" s="9">
        <v>0.38700000000000001</v>
      </c>
      <c r="N17" s="21">
        <f t="shared" si="12"/>
        <v>4.564217478476236E-2</v>
      </c>
      <c r="O17" s="1"/>
      <c r="P17" s="7">
        <v>2.2069999999999999</v>
      </c>
      <c r="Q17" s="1">
        <f t="shared" ref="Q17:Q19" si="13">P16/P17</f>
        <v>1.2057091073855914</v>
      </c>
      <c r="R17" s="1"/>
      <c r="S17" s="1"/>
      <c r="T17" s="18" t="s">
        <v>35</v>
      </c>
      <c r="U17" s="28">
        <v>3.3154230984743402</v>
      </c>
      <c r="V17" s="20">
        <v>1.3854230984743403</v>
      </c>
      <c r="W17" s="22">
        <v>1.7178358023183111</v>
      </c>
      <c r="X17" s="1"/>
      <c r="Y17" s="1"/>
      <c r="Z17" s="1"/>
      <c r="AA17" s="1"/>
      <c r="AB17" s="18" t="s">
        <v>35</v>
      </c>
      <c r="AC17" s="7">
        <v>6.2872699999999986</v>
      </c>
      <c r="AD17" s="20">
        <v>2.1772699999999983</v>
      </c>
      <c r="AE17" s="22">
        <v>1.5297493917274934</v>
      </c>
      <c r="AF17" s="1"/>
      <c r="AG17" s="1"/>
      <c r="AH17" s="18" t="s">
        <v>35</v>
      </c>
      <c r="AI17" s="7">
        <v>3.4383780319001382</v>
      </c>
      <c r="AJ17" s="20">
        <v>1.6383780319001382</v>
      </c>
      <c r="AK17" s="22">
        <v>1.9102100177222989</v>
      </c>
      <c r="AL17" s="1"/>
      <c r="AM17" s="1"/>
      <c r="AN17" s="18" t="s">
        <v>35</v>
      </c>
      <c r="AO17" s="7">
        <v>3.2761821622746181</v>
      </c>
      <c r="AP17" s="20">
        <v>1.2861821622746181</v>
      </c>
      <c r="AQ17" s="22">
        <v>1.6463226946103608</v>
      </c>
      <c r="AR17" s="1"/>
      <c r="AS17" s="1"/>
      <c r="AT17" s="18" t="s">
        <v>35</v>
      </c>
      <c r="AU17" s="7">
        <v>3.2543816421636609</v>
      </c>
      <c r="AV17" s="20">
        <v>1.184381642163661</v>
      </c>
      <c r="AW17" s="22">
        <v>1.5721650445235078</v>
      </c>
      <c r="AX17" s="1"/>
      <c r="AY17" s="1"/>
      <c r="AZ17" s="1"/>
      <c r="BA17" s="125" t="s">
        <v>126</v>
      </c>
      <c r="BB17" s="128">
        <f>IF(AND(BB11="Yes",BB5=7.36,BB7="No",BB6= "Yes"),(BB15-3.5),BB15)</f>
        <v>11.293000000000001</v>
      </c>
      <c r="BC17" s="1"/>
      <c r="BD17" s="1"/>
      <c r="BE17" s="1"/>
      <c r="BF17" s="1"/>
      <c r="BG17" s="1"/>
      <c r="BH17" s="1"/>
      <c r="BI17" s="1"/>
      <c r="BJ17" s="1"/>
      <c r="BK17" s="1"/>
      <c r="BL17" s="1"/>
      <c r="BM17" s="1"/>
      <c r="BN17" s="1"/>
      <c r="BO17" s="1"/>
      <c r="BP17" s="1"/>
      <c r="BQ17" s="1"/>
      <c r="BR17" s="1"/>
      <c r="BS17" s="1"/>
    </row>
    <row r="18" spans="1:71" x14ac:dyDescent="0.25">
      <c r="A18" s="1"/>
      <c r="B18" s="16">
        <v>75</v>
      </c>
      <c r="C18" s="7">
        <v>1.9930000000000001</v>
      </c>
      <c r="D18" s="6">
        <v>0.311</v>
      </c>
      <c r="E18" s="21">
        <f t="shared" si="10"/>
        <v>0.15604616156547918</v>
      </c>
      <c r="F18" s="8"/>
      <c r="G18" s="8"/>
      <c r="H18" s="8"/>
      <c r="I18" s="8"/>
      <c r="J18" s="8"/>
      <c r="K18" s="17">
        <v>75</v>
      </c>
      <c r="L18" s="7">
        <f t="shared" si="11"/>
        <v>8.5429999999999993</v>
      </c>
      <c r="M18" s="9">
        <v>0.221</v>
      </c>
      <c r="N18" s="21">
        <f t="shared" si="12"/>
        <v>2.5869132623200283E-2</v>
      </c>
      <c r="O18" s="1"/>
      <c r="P18" s="7">
        <v>2.048</v>
      </c>
      <c r="Q18" s="1">
        <f t="shared" si="13"/>
        <v>1.07763671875</v>
      </c>
      <c r="R18" s="1"/>
      <c r="S18" s="1"/>
      <c r="T18" s="18" t="s">
        <v>36</v>
      </c>
      <c r="U18" s="28">
        <v>2.066646667248603</v>
      </c>
      <c r="V18" s="20">
        <v>0.13664666724860308</v>
      </c>
      <c r="W18" s="22">
        <v>1.0708013819940949</v>
      </c>
      <c r="X18" s="1"/>
      <c r="Y18" s="1"/>
      <c r="Z18" s="1"/>
      <c r="AA18" s="1"/>
      <c r="AB18" s="18" t="s">
        <v>36</v>
      </c>
      <c r="AC18" s="7">
        <v>5.3637299999999994</v>
      </c>
      <c r="AD18" s="20">
        <v>1.2537299999999991</v>
      </c>
      <c r="AE18" s="22">
        <v>1.3050437956204377</v>
      </c>
      <c r="AF18" s="1"/>
      <c r="AG18" s="1"/>
      <c r="AH18" s="18" t="s">
        <v>36</v>
      </c>
      <c r="AI18" s="7">
        <v>2.4917747084497206</v>
      </c>
      <c r="AJ18" s="20">
        <v>0.69177470844972055</v>
      </c>
      <c r="AK18" s="22">
        <v>1.3843192824720669</v>
      </c>
      <c r="AL18" s="1"/>
      <c r="AM18" s="1"/>
      <c r="AN18" s="18" t="s">
        <v>36</v>
      </c>
      <c r="AO18" s="7">
        <v>1.9177582122905026</v>
      </c>
      <c r="AP18" s="20">
        <v>-7.2241787709497407E-2</v>
      </c>
      <c r="AQ18" s="22">
        <v>0.96369759411583045</v>
      </c>
      <c r="AR18" s="1"/>
      <c r="AS18" s="1"/>
      <c r="AT18" s="18" t="s">
        <v>36</v>
      </c>
      <c r="AU18" s="7">
        <v>1.8540826466480445</v>
      </c>
      <c r="AV18" s="20">
        <v>-0.21591735335195539</v>
      </c>
      <c r="AW18" s="22">
        <v>0.89569209982997322</v>
      </c>
      <c r="AX18" s="1"/>
      <c r="AY18" s="1"/>
      <c r="AZ18" s="1"/>
      <c r="BA18" s="1"/>
      <c r="BB18" s="1"/>
      <c r="BC18" s="1"/>
      <c r="BD18" s="1"/>
      <c r="BF18" s="1"/>
      <c r="BG18" s="1"/>
      <c r="BH18" s="1"/>
      <c r="BI18" s="1"/>
      <c r="BJ18" s="1"/>
      <c r="BK18" s="1"/>
      <c r="BL18" s="1"/>
      <c r="BM18" s="1"/>
      <c r="BN18" s="1"/>
      <c r="BO18" s="1"/>
      <c r="BP18" s="1"/>
      <c r="BQ18" s="1"/>
      <c r="BR18" s="1"/>
      <c r="BS18" s="1"/>
    </row>
    <row r="19" spans="1:71" x14ac:dyDescent="0.25">
      <c r="A19" s="1"/>
      <c r="B19" s="16">
        <v>100</v>
      </c>
      <c r="C19" s="7">
        <v>2.0659999999999998</v>
      </c>
      <c r="D19" s="6">
        <v>0.22900000000000001</v>
      </c>
      <c r="E19" s="21">
        <f t="shared" si="10"/>
        <v>0.11084220716360117</v>
      </c>
      <c r="F19" s="8"/>
      <c r="G19" s="8"/>
      <c r="H19" s="8"/>
      <c r="I19" s="8"/>
      <c r="J19" s="8"/>
      <c r="K19" s="17">
        <v>100</v>
      </c>
      <c r="L19" s="7">
        <f t="shared" si="11"/>
        <v>8.6159999999999997</v>
      </c>
      <c r="M19" s="9">
        <v>0.128</v>
      </c>
      <c r="N19" s="21">
        <f t="shared" si="12"/>
        <v>1.4856081708449397E-2</v>
      </c>
      <c r="O19" s="1"/>
      <c r="P19" s="7">
        <v>1.98</v>
      </c>
      <c r="Q19" s="1">
        <f t="shared" si="13"/>
        <v>1.0343434343434343</v>
      </c>
      <c r="R19" s="1"/>
      <c r="S19" s="1"/>
      <c r="T19" s="18" t="s">
        <v>58</v>
      </c>
      <c r="U19" s="28">
        <v>4.4001902557678569</v>
      </c>
      <c r="V19" s="20">
        <v>2.4701902557678572</v>
      </c>
      <c r="W19" s="22">
        <v>2.2798913242320502</v>
      </c>
      <c r="X19" s="1"/>
      <c r="Y19" s="1"/>
      <c r="Z19" s="1"/>
      <c r="AA19" s="1"/>
      <c r="AB19" s="18" t="s">
        <v>58</v>
      </c>
      <c r="AC19" s="7">
        <v>9.8221711999999997</v>
      </c>
      <c r="AD19" s="20">
        <v>5.7121711999999993</v>
      </c>
      <c r="AE19" s="22">
        <v>2.3898226763990267</v>
      </c>
      <c r="AF19" s="1"/>
      <c r="AG19" s="1"/>
      <c r="AH19" s="18" t="s">
        <v>58</v>
      </c>
      <c r="AI19" s="7">
        <v>4.9343620261358119</v>
      </c>
      <c r="AJ19" s="20">
        <v>3.1343620261358121</v>
      </c>
      <c r="AK19" s="22">
        <v>2.7413122367421177</v>
      </c>
      <c r="AL19" s="1"/>
      <c r="AM19" s="1"/>
      <c r="AN19" s="18" t="s">
        <v>58</v>
      </c>
      <c r="AO19" s="7">
        <v>4.2114854673430484</v>
      </c>
      <c r="AP19" s="20">
        <v>2.2214854673430482</v>
      </c>
      <c r="AQ19" s="22">
        <v>2.1163243554487678</v>
      </c>
      <c r="AR19" s="1"/>
      <c r="AS19" s="1"/>
      <c r="AT19" s="18" t="s">
        <v>58</v>
      </c>
      <c r="AU19" s="7">
        <v>4.1267989002206376</v>
      </c>
      <c r="AV19" s="20">
        <v>2.0567989002206377</v>
      </c>
      <c r="AW19" s="22">
        <v>1.9936226571114193</v>
      </c>
      <c r="AX19" s="1"/>
      <c r="AY19" s="1"/>
      <c r="AZ19" s="1"/>
      <c r="BA19" s="1"/>
      <c r="BB19" s="1"/>
      <c r="BC19" s="1"/>
      <c r="BD19" s="1"/>
      <c r="BE19" s="1"/>
      <c r="BF19" s="1"/>
      <c r="BG19" s="1"/>
      <c r="BH19" s="1"/>
      <c r="BI19" s="1"/>
      <c r="BJ19" s="1"/>
      <c r="BK19" s="1"/>
      <c r="BL19" s="1"/>
      <c r="BM19" s="1"/>
      <c r="BN19" s="1"/>
      <c r="BO19" s="1"/>
      <c r="BP19" s="1"/>
      <c r="BQ19" s="1"/>
      <c r="BR19" s="1"/>
      <c r="BS19" s="1"/>
    </row>
    <row r="20" spans="1:71" x14ac:dyDescent="0.25">
      <c r="A20" s="1"/>
      <c r="B20" s="8"/>
      <c r="C20" s="8"/>
      <c r="D20" s="8"/>
      <c r="E20" s="8"/>
      <c r="F20" s="8"/>
      <c r="G20" s="8"/>
      <c r="H20" s="8"/>
      <c r="I20" s="8"/>
      <c r="J20" s="8"/>
      <c r="K20" s="12"/>
      <c r="L20" s="12"/>
      <c r="M20" s="12"/>
      <c r="N20" s="1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x14ac:dyDescent="0.25">
      <c r="A21" s="1"/>
      <c r="B21" s="8" t="s">
        <v>6</v>
      </c>
      <c r="C21" s="8"/>
      <c r="D21" s="8"/>
      <c r="E21" s="8"/>
      <c r="F21" s="8"/>
      <c r="G21" s="8"/>
      <c r="H21" s="8"/>
      <c r="I21" s="8"/>
      <c r="J21" s="1"/>
      <c r="K21" s="474" t="s">
        <v>207</v>
      </c>
      <c r="L21" s="474"/>
      <c r="M21" s="474"/>
      <c r="N21" s="474"/>
      <c r="P21" s="1"/>
      <c r="Q21" s="1"/>
      <c r="R21" s="1"/>
      <c r="S21" s="1"/>
      <c r="T21" s="19" t="s">
        <v>23</v>
      </c>
      <c r="U21" s="19" t="s">
        <v>8</v>
      </c>
      <c r="V21" s="19" t="s">
        <v>12</v>
      </c>
      <c r="W21" s="19" t="s">
        <v>13</v>
      </c>
      <c r="X21" s="1"/>
      <c r="Y21" s="1"/>
      <c r="Z21" s="1"/>
      <c r="AA21" s="1"/>
      <c r="AB21" s="19" t="s">
        <v>32</v>
      </c>
      <c r="AC21" s="19" t="s">
        <v>8</v>
      </c>
      <c r="AD21" s="19" t="s">
        <v>12</v>
      </c>
      <c r="AE21" s="19" t="s">
        <v>13</v>
      </c>
      <c r="AF21" s="1"/>
      <c r="AG21" s="1"/>
      <c r="AH21" s="19" t="s">
        <v>44</v>
      </c>
      <c r="AI21" s="19" t="s">
        <v>8</v>
      </c>
      <c r="AJ21" s="19" t="s">
        <v>12</v>
      </c>
      <c r="AK21" s="19" t="s">
        <v>13</v>
      </c>
      <c r="AL21" s="1"/>
      <c r="AM21" s="1"/>
      <c r="AN21" s="19" t="s">
        <v>46</v>
      </c>
      <c r="AO21" s="19" t="s">
        <v>8</v>
      </c>
      <c r="AP21" s="19" t="s">
        <v>12</v>
      </c>
      <c r="AQ21" s="19" t="s">
        <v>13</v>
      </c>
      <c r="AR21" s="1"/>
      <c r="AS21" s="1"/>
      <c r="AT21" s="19" t="s">
        <v>48</v>
      </c>
      <c r="AU21" s="19" t="s">
        <v>8</v>
      </c>
      <c r="AV21" s="19" t="s">
        <v>12</v>
      </c>
      <c r="AW21" s="19" t="s">
        <v>13</v>
      </c>
      <c r="AX21" s="1"/>
      <c r="AY21" s="1"/>
      <c r="AZ21" s="1"/>
      <c r="BA21" s="1"/>
      <c r="BB21" s="1"/>
      <c r="BC21" s="1"/>
      <c r="BD21" s="1"/>
      <c r="BE21" s="1"/>
      <c r="BF21" s="1"/>
      <c r="BG21" s="1"/>
      <c r="BH21" s="1"/>
      <c r="BI21" s="1"/>
      <c r="BJ21" s="1"/>
      <c r="BK21" s="1"/>
      <c r="BL21" s="1"/>
      <c r="BM21" s="1"/>
      <c r="BN21" s="1"/>
      <c r="BO21" s="1"/>
      <c r="BP21" s="1"/>
      <c r="BQ21" s="1"/>
      <c r="BR21" s="1"/>
      <c r="BS21" s="1"/>
    </row>
    <row r="22" spans="1:71" x14ac:dyDescent="0.25">
      <c r="A22" s="1"/>
      <c r="B22" s="11" t="s">
        <v>0</v>
      </c>
      <c r="C22" s="11" t="s">
        <v>1</v>
      </c>
      <c r="D22" s="11" t="s">
        <v>2</v>
      </c>
      <c r="E22" s="11" t="s">
        <v>3</v>
      </c>
      <c r="F22" s="8"/>
      <c r="G22" s="8"/>
      <c r="H22" s="8"/>
      <c r="I22" s="8"/>
      <c r="J22" s="1"/>
      <c r="K22" s="15" t="s">
        <v>0</v>
      </c>
      <c r="L22" s="15" t="s">
        <v>1</v>
      </c>
      <c r="M22" s="15" t="s">
        <v>2</v>
      </c>
      <c r="N22" s="15" t="s">
        <v>3</v>
      </c>
      <c r="O22" s="475" t="s">
        <v>93</v>
      </c>
      <c r="P22" s="1"/>
      <c r="Q22" s="1"/>
      <c r="R22" s="1"/>
      <c r="S22" s="1"/>
      <c r="T22" s="18" t="s">
        <v>21</v>
      </c>
      <c r="U22" s="7">
        <v>1.93</v>
      </c>
      <c r="V22" s="20">
        <v>0</v>
      </c>
      <c r="W22" s="22">
        <v>0</v>
      </c>
      <c r="X22" s="1"/>
      <c r="Y22" s="1"/>
      <c r="Z22" s="1"/>
      <c r="AA22" s="1"/>
      <c r="AB22" s="18" t="s">
        <v>21</v>
      </c>
      <c r="AC22" s="7">
        <v>1.93</v>
      </c>
      <c r="AD22" s="20">
        <v>0</v>
      </c>
      <c r="AE22" s="22">
        <v>0</v>
      </c>
      <c r="AF22" s="1"/>
      <c r="AG22" s="1"/>
      <c r="AH22" s="18" t="s">
        <v>21</v>
      </c>
      <c r="AI22" s="7">
        <v>1.93</v>
      </c>
      <c r="AJ22" s="20">
        <v>0</v>
      </c>
      <c r="AK22" s="22">
        <v>0</v>
      </c>
      <c r="AL22" s="1"/>
      <c r="AM22" s="1"/>
      <c r="AN22" s="18" t="s">
        <v>21</v>
      </c>
      <c r="AO22" s="7">
        <v>1.93</v>
      </c>
      <c r="AP22" s="20">
        <v>0</v>
      </c>
      <c r="AQ22" s="22">
        <v>0</v>
      </c>
      <c r="AR22" s="1"/>
      <c r="AS22" s="1"/>
      <c r="AT22" s="18" t="s">
        <v>21</v>
      </c>
      <c r="AU22" s="7">
        <v>1.93</v>
      </c>
      <c r="AV22" s="20">
        <v>0</v>
      </c>
      <c r="AW22" s="22">
        <v>0</v>
      </c>
      <c r="AX22" s="1"/>
      <c r="AY22" s="1"/>
      <c r="AZ22" s="1"/>
      <c r="BA22" s="1"/>
      <c r="BB22" s="1"/>
      <c r="BC22" s="1"/>
      <c r="BD22" s="1"/>
      <c r="BE22" s="1"/>
      <c r="BF22" s="1"/>
      <c r="BG22" s="1"/>
      <c r="BH22" s="1"/>
      <c r="BI22" s="1"/>
      <c r="BJ22" s="1"/>
      <c r="BK22" s="1"/>
      <c r="BL22" s="1"/>
      <c r="BM22" s="1"/>
      <c r="BN22" s="1"/>
      <c r="BO22" s="1"/>
      <c r="BP22" s="1"/>
      <c r="BQ22" s="1"/>
      <c r="BR22" s="1"/>
      <c r="BS22" s="1"/>
    </row>
    <row r="23" spans="1:71" x14ac:dyDescent="0.25">
      <c r="A23" s="1"/>
      <c r="B23" s="16">
        <v>1</v>
      </c>
      <c r="C23" s="7">
        <v>7.21</v>
      </c>
      <c r="D23" s="6">
        <v>0.9</v>
      </c>
      <c r="E23" s="21">
        <f>D23/C23</f>
        <v>0.12482662968099861</v>
      </c>
      <c r="F23" s="8"/>
      <c r="G23" s="8"/>
      <c r="H23" s="8"/>
      <c r="I23" s="8"/>
      <c r="J23" s="1"/>
      <c r="K23" s="17">
        <v>1</v>
      </c>
      <c r="L23" s="7">
        <f>L15+7.36*$K$44*1.18</f>
        <v>17.971919999999997</v>
      </c>
      <c r="M23" s="9">
        <f>L23*N23</f>
        <v>2.7902795048870166</v>
      </c>
      <c r="N23" s="21">
        <f>(N15+E23)/2</f>
        <v>0.15525773010824759</v>
      </c>
      <c r="O23" s="475"/>
      <c r="P23" s="1"/>
      <c r="Q23" s="1"/>
      <c r="R23" s="1"/>
      <c r="S23" s="1"/>
      <c r="T23" s="18" t="s">
        <v>28</v>
      </c>
      <c r="U23" s="7">
        <v>1.1413892999999999</v>
      </c>
      <c r="V23" s="20">
        <v>-0.7886107</v>
      </c>
      <c r="W23" s="22">
        <v>0.59139341968911918</v>
      </c>
      <c r="X23" s="1"/>
      <c r="Y23" s="1"/>
      <c r="Z23" s="1"/>
      <c r="AA23" s="1"/>
      <c r="AB23" s="18" t="s">
        <v>28</v>
      </c>
      <c r="AC23" s="7">
        <v>2.4336621000000003</v>
      </c>
      <c r="AD23" s="20">
        <v>-1.6763379</v>
      </c>
      <c r="AE23" s="22">
        <v>0.59213189781021902</v>
      </c>
      <c r="AF23" s="1"/>
      <c r="AG23" s="1"/>
      <c r="AH23" s="18" t="s">
        <v>28</v>
      </c>
      <c r="AI23" s="7">
        <v>1.0644682999999999</v>
      </c>
      <c r="AJ23" s="20">
        <v>-0.73553170000000012</v>
      </c>
      <c r="AK23" s="22">
        <v>0.59137127777777776</v>
      </c>
      <c r="AL23" s="1"/>
      <c r="AM23" s="1"/>
      <c r="AN23" s="18" t="s">
        <v>28</v>
      </c>
      <c r="AO23" s="7">
        <v>1.1792581</v>
      </c>
      <c r="AP23" s="20">
        <v>-0.81074190000000002</v>
      </c>
      <c r="AQ23" s="22">
        <v>0.59259201005025119</v>
      </c>
      <c r="AR23" s="1"/>
      <c r="AS23" s="1"/>
      <c r="AT23" s="18" t="s">
        <v>28</v>
      </c>
      <c r="AU23" s="7">
        <v>1.2224522</v>
      </c>
      <c r="AV23" s="20">
        <v>-0.84754779999999985</v>
      </c>
      <c r="AW23" s="22">
        <v>0.61429758793969846</v>
      </c>
      <c r="AX23" s="1"/>
      <c r="AY23" s="1"/>
      <c r="AZ23" s="1"/>
      <c r="BB23" s="1"/>
      <c r="BC23" s="1"/>
      <c r="BD23" s="1"/>
      <c r="BE23" s="1"/>
      <c r="BF23" s="1"/>
      <c r="BG23" s="1"/>
      <c r="BH23" s="1"/>
      <c r="BI23" s="1"/>
      <c r="BJ23" s="1"/>
      <c r="BK23" s="1"/>
      <c r="BL23" s="1"/>
      <c r="BM23" s="1"/>
      <c r="BN23" s="1"/>
      <c r="BO23" s="1"/>
      <c r="BP23" s="1"/>
      <c r="BQ23" s="1"/>
      <c r="BR23" s="1"/>
      <c r="BS23" s="1"/>
    </row>
    <row r="24" spans="1:71" x14ac:dyDescent="0.25">
      <c r="A24" s="1"/>
      <c r="B24" s="16">
        <v>25</v>
      </c>
      <c r="C24" s="7">
        <v>3.9430000000000001</v>
      </c>
      <c r="D24" s="6">
        <v>0.36299999999999999</v>
      </c>
      <c r="E24" s="21">
        <f t="shared" ref="E24:E27" si="14">D24/C24</f>
        <v>9.2061881815876226E-2</v>
      </c>
      <c r="F24" s="8"/>
      <c r="G24" s="8"/>
      <c r="H24" s="8"/>
      <c r="I24" s="8"/>
      <c r="J24" s="1"/>
      <c r="K24" s="17">
        <v>25</v>
      </c>
      <c r="L24" s="7">
        <f>L23/H46</f>
        <v>11.573447609942512</v>
      </c>
      <c r="M24" s="9">
        <f>L24*N24</f>
        <v>0.99919555484485634</v>
      </c>
      <c r="N24" s="21">
        <f>(N16+E24)/2</f>
        <v>8.6335168959201736E-2</v>
      </c>
      <c r="O24" s="475"/>
      <c r="P24" s="1"/>
      <c r="Q24" s="1"/>
      <c r="R24" s="1"/>
      <c r="S24" s="1"/>
      <c r="T24" s="18" t="s">
        <v>25</v>
      </c>
      <c r="U24" s="28">
        <v>2.2496434000000001</v>
      </c>
      <c r="V24" s="20">
        <v>0.31964340000000013</v>
      </c>
      <c r="W24" s="22">
        <v>1.1656183419689119</v>
      </c>
      <c r="X24" s="1"/>
      <c r="Y24" s="1"/>
      <c r="Z24" s="1"/>
      <c r="AA24" s="1"/>
      <c r="AB24" s="18" t="s">
        <v>25</v>
      </c>
      <c r="AC24" s="28">
        <v>4.2661569999999998</v>
      </c>
      <c r="AD24" s="20">
        <v>0.15615699999999944</v>
      </c>
      <c r="AE24" s="22">
        <v>1.0379944038929438</v>
      </c>
      <c r="AF24" s="1"/>
      <c r="AG24" s="1"/>
      <c r="AH24" s="18" t="s">
        <v>25</v>
      </c>
      <c r="AI24" s="28">
        <v>2.3330731</v>
      </c>
      <c r="AJ24" s="20">
        <v>0.53307309999999997</v>
      </c>
      <c r="AK24" s="22">
        <v>1.2961517222222223</v>
      </c>
      <c r="AL24" s="1"/>
      <c r="AM24" s="1"/>
      <c r="AN24" s="18" t="s">
        <v>25</v>
      </c>
      <c r="AO24" s="28">
        <v>2.2230169000000002</v>
      </c>
      <c r="AP24" s="20">
        <v>0.23301690000000019</v>
      </c>
      <c r="AQ24" s="22">
        <v>1.1170939195979901</v>
      </c>
      <c r="AR24" s="1"/>
      <c r="AS24" s="1"/>
      <c r="AT24" s="18" t="s">
        <v>25</v>
      </c>
      <c r="AU24" s="28">
        <v>2.2082244000000002</v>
      </c>
      <c r="AV24" s="20">
        <v>0.13822440000000036</v>
      </c>
      <c r="AW24" s="22">
        <v>1.109660502512563</v>
      </c>
      <c r="AX24" s="1"/>
      <c r="AY24" s="1"/>
      <c r="AZ24" s="1"/>
      <c r="BA24" s="1"/>
      <c r="BB24" s="1"/>
      <c r="BC24" s="1"/>
      <c r="BD24" s="1"/>
      <c r="BE24" s="1"/>
      <c r="BF24" s="1"/>
      <c r="BG24" s="1"/>
      <c r="BH24" s="1"/>
      <c r="BI24" s="1"/>
      <c r="BJ24" s="1"/>
      <c r="BK24" s="1"/>
      <c r="BL24" s="1"/>
      <c r="BM24" s="1"/>
      <c r="BN24" s="1"/>
      <c r="BO24" s="1"/>
      <c r="BP24" s="1"/>
      <c r="BQ24" s="1"/>
      <c r="BR24" s="1"/>
      <c r="BS24" s="1"/>
    </row>
    <row r="25" spans="1:71" ht="15" customHeight="1" x14ac:dyDescent="0.25">
      <c r="A25" s="1"/>
      <c r="B25" s="16">
        <v>50</v>
      </c>
      <c r="C25" s="7">
        <v>3.802</v>
      </c>
      <c r="D25" s="6">
        <v>0.15</v>
      </c>
      <c r="E25" s="21">
        <f t="shared" si="14"/>
        <v>3.9452919516044183E-2</v>
      </c>
      <c r="F25" s="8"/>
      <c r="G25" s="8"/>
      <c r="H25" s="8"/>
      <c r="I25" s="8"/>
      <c r="J25" s="1"/>
      <c r="K25" s="17">
        <v>50</v>
      </c>
      <c r="L25" s="7">
        <f>L24/H47</f>
        <v>11.448919160812851</v>
      </c>
      <c r="M25" s="9">
        <f t="shared" ref="M25:M27" si="15">L25*N25</f>
        <v>0.48712342781584023</v>
      </c>
      <c r="N25" s="21">
        <f>(N17+E25)/2</f>
        <v>4.2547547150403271E-2</v>
      </c>
      <c r="O25" s="475"/>
      <c r="P25" s="1"/>
      <c r="Q25" s="1"/>
      <c r="R25" s="1"/>
      <c r="S25" s="1"/>
      <c r="T25" s="18" t="s">
        <v>26</v>
      </c>
      <c r="U25" s="28">
        <v>3.2159604055201099</v>
      </c>
      <c r="V25" s="20">
        <v>1.2859604055201099</v>
      </c>
      <c r="W25" s="22">
        <v>1.6663007282487616</v>
      </c>
      <c r="X25" s="1"/>
      <c r="Y25" s="1"/>
      <c r="Z25" s="1"/>
      <c r="AA25" s="1"/>
      <c r="AB25" s="18" t="s">
        <v>26</v>
      </c>
      <c r="AC25" s="28">
        <v>6.0986518999999983</v>
      </c>
      <c r="AD25" s="20">
        <v>1.988651899999998</v>
      </c>
      <c r="AE25" s="22">
        <v>1.4838569099756687</v>
      </c>
      <c r="AF25" s="1"/>
      <c r="AG25" s="1"/>
      <c r="AH25" s="18" t="s">
        <v>26</v>
      </c>
      <c r="AI25" s="28">
        <v>3.3352266909431338</v>
      </c>
      <c r="AJ25" s="20">
        <v>1.5352266909431338</v>
      </c>
      <c r="AK25" s="22">
        <v>1.85290371719063</v>
      </c>
      <c r="AL25" s="1"/>
      <c r="AM25" s="1"/>
      <c r="AN25" s="18" t="s">
        <v>26</v>
      </c>
      <c r="AO25" s="28">
        <v>3.1778966974063794</v>
      </c>
      <c r="AP25" s="20">
        <v>1.1878966974063794</v>
      </c>
      <c r="AQ25" s="22">
        <v>1.5969330137720499</v>
      </c>
      <c r="AR25" s="1"/>
      <c r="AS25" s="1"/>
      <c r="AT25" s="18" t="s">
        <v>26</v>
      </c>
      <c r="AU25" s="28">
        <v>3.1567501928987509</v>
      </c>
      <c r="AV25" s="20">
        <v>1.0867501928987511</v>
      </c>
      <c r="AW25" s="22">
        <v>1.5863066295973622</v>
      </c>
      <c r="AX25" s="1"/>
      <c r="AY25" s="1"/>
      <c r="AZ25" s="1"/>
      <c r="BA25" s="1"/>
      <c r="BB25" s="1"/>
      <c r="BC25" s="1"/>
      <c r="BD25" s="1"/>
      <c r="BE25" s="1"/>
      <c r="BF25" s="1"/>
      <c r="BG25" s="1"/>
      <c r="BH25" s="1"/>
      <c r="BI25" s="1"/>
      <c r="BJ25" s="1"/>
      <c r="BK25" s="1"/>
      <c r="BL25" s="1"/>
      <c r="BM25" s="1"/>
      <c r="BN25" s="1"/>
      <c r="BO25" s="1"/>
      <c r="BP25" s="1"/>
      <c r="BQ25" s="1"/>
      <c r="BR25" s="1"/>
      <c r="BS25" s="1"/>
    </row>
    <row r="26" spans="1:71" x14ac:dyDescent="0.25">
      <c r="A26" s="1"/>
      <c r="B26" s="16">
        <v>75</v>
      </c>
      <c r="C26" s="7">
        <v>3.7570000000000001</v>
      </c>
      <c r="D26" s="6">
        <v>8.6999999999999994E-2</v>
      </c>
      <c r="E26" s="21">
        <f t="shared" si="14"/>
        <v>2.3156774021825921E-2</v>
      </c>
      <c r="F26" s="8"/>
      <c r="G26" s="8"/>
      <c r="H26" s="8"/>
      <c r="I26" s="8"/>
      <c r="J26" s="1"/>
      <c r="K26" s="17">
        <v>75</v>
      </c>
      <c r="L26" s="7">
        <f>L25/H48</f>
        <v>11.423295975617245</v>
      </c>
      <c r="M26" s="9">
        <f t="shared" si="15"/>
        <v>0.28001872103955733</v>
      </c>
      <c r="N26" s="21">
        <f>(N18+E26)/2</f>
        <v>2.4512953322513104E-2</v>
      </c>
      <c r="O26" s="475"/>
      <c r="P26" s="1"/>
      <c r="Q26" s="1"/>
      <c r="R26" s="1"/>
      <c r="S26" s="1"/>
      <c r="T26" s="18" t="s">
        <v>27</v>
      </c>
      <c r="U26" s="28">
        <v>2.0046472672311451</v>
      </c>
      <c r="V26" s="20">
        <v>7.464726723114512E-2</v>
      </c>
      <c r="W26" s="22">
        <v>1.0386773405342722</v>
      </c>
      <c r="X26" s="1" t="s">
        <v>95</v>
      </c>
      <c r="Y26" s="1"/>
      <c r="Z26" s="1"/>
      <c r="AA26" s="1"/>
      <c r="AB26" s="18" t="s">
        <v>27</v>
      </c>
      <c r="AC26" s="7">
        <v>5.2028180999999991</v>
      </c>
      <c r="AD26" s="20">
        <v>1.0928180999999988</v>
      </c>
      <c r="AE26" s="22">
        <v>1.2658924817518244</v>
      </c>
      <c r="AF26" s="1"/>
      <c r="AG26" s="1"/>
      <c r="AH26" s="18" t="s">
        <v>27</v>
      </c>
      <c r="AI26" s="28">
        <v>2.4170214671962289</v>
      </c>
      <c r="AJ26" s="20">
        <v>0.61702146719622886</v>
      </c>
      <c r="AK26" s="22">
        <v>1.3427897039979049</v>
      </c>
      <c r="AL26" s="1"/>
      <c r="AM26" s="1"/>
      <c r="AN26" s="18" t="s">
        <v>27</v>
      </c>
      <c r="AO26" s="28">
        <v>1.8602254659217874</v>
      </c>
      <c r="AP26" s="20">
        <v>-0.1297745340782126</v>
      </c>
      <c r="AQ26" s="22">
        <v>0.93478666629235552</v>
      </c>
      <c r="AR26" s="1"/>
      <c r="AS26" s="1"/>
      <c r="AT26" s="18" t="s">
        <v>27</v>
      </c>
      <c r="AU26" s="28">
        <v>1.7984601672486031</v>
      </c>
      <c r="AV26" s="20">
        <v>-0.2715398327513967</v>
      </c>
      <c r="AW26" s="22">
        <v>0.90374882776311716</v>
      </c>
      <c r="AX26" s="1"/>
      <c r="AY26" s="1"/>
      <c r="AZ26" s="1"/>
      <c r="BA26" s="1"/>
      <c r="BB26" s="1"/>
      <c r="BC26" s="1"/>
      <c r="BD26" s="1"/>
      <c r="BE26" s="1"/>
      <c r="BF26" s="1"/>
      <c r="BG26" s="1"/>
      <c r="BH26" s="1"/>
      <c r="BI26" s="1"/>
      <c r="BJ26" s="1"/>
      <c r="BK26" s="1"/>
      <c r="BL26" s="1"/>
      <c r="BM26" s="1"/>
      <c r="BN26" s="1"/>
      <c r="BO26" s="1"/>
      <c r="BP26" s="1"/>
      <c r="BQ26" s="1"/>
      <c r="BR26" s="1"/>
      <c r="BS26" s="1"/>
    </row>
    <row r="27" spans="1:71" x14ac:dyDescent="0.25">
      <c r="A27" s="1"/>
      <c r="B27" s="16">
        <v>100</v>
      </c>
      <c r="C27" s="7">
        <v>3.7320000000000002</v>
      </c>
      <c r="D27" s="6">
        <v>6.2E-2</v>
      </c>
      <c r="E27" s="21">
        <f t="shared" si="14"/>
        <v>1.6613076098606645E-2</v>
      </c>
      <c r="F27" s="8"/>
      <c r="G27" s="8"/>
      <c r="H27" s="8"/>
      <c r="I27" s="8"/>
      <c r="J27" s="1"/>
      <c r="K27" s="17">
        <v>100</v>
      </c>
      <c r="L27" s="7">
        <f>L26/H49</f>
        <v>11.433436222127098</v>
      </c>
      <c r="M27" s="9">
        <f t="shared" si="15"/>
        <v>0.17990030437551416</v>
      </c>
      <c r="N27" s="21">
        <f>(N19+E27)/2</f>
        <v>1.5734578903528022E-2</v>
      </c>
      <c r="O27" s="475"/>
      <c r="P27" s="1"/>
      <c r="Q27" s="1"/>
      <c r="R27" s="1"/>
      <c r="S27" s="1"/>
      <c r="T27" s="18" t="s">
        <v>57</v>
      </c>
      <c r="U27" s="28">
        <v>4.2681845480948208</v>
      </c>
      <c r="V27" s="20">
        <v>2.3381845480948211</v>
      </c>
      <c r="W27" s="22">
        <v>2.2114945845050884</v>
      </c>
      <c r="X27" s="1"/>
      <c r="Y27" s="1"/>
      <c r="Z27" s="1"/>
      <c r="AA27" s="1"/>
      <c r="AB27" s="18" t="s">
        <v>57</v>
      </c>
      <c r="AC27" s="28">
        <v>9.5275060639999989</v>
      </c>
      <c r="AD27" s="20">
        <v>5.4175060639999986</v>
      </c>
      <c r="AE27" s="22">
        <v>2.3181279961070556</v>
      </c>
      <c r="AF27" s="1"/>
      <c r="AG27" s="1"/>
      <c r="AH27" s="18" t="s">
        <v>57</v>
      </c>
      <c r="AI27" s="28">
        <v>4.7863311653517373</v>
      </c>
      <c r="AJ27" s="20">
        <v>2.9863311653517375</v>
      </c>
      <c r="AK27" s="22">
        <v>2.659072869639854</v>
      </c>
      <c r="AL27" s="1"/>
      <c r="AM27" s="1"/>
      <c r="AN27" s="18" t="s">
        <v>57</v>
      </c>
      <c r="AO27" s="28">
        <v>4.085140903322757</v>
      </c>
      <c r="AP27" s="20">
        <v>2.0951409033227568</v>
      </c>
      <c r="AQ27" s="22">
        <v>2.0528346247853051</v>
      </c>
      <c r="AR27" s="1"/>
      <c r="AS27" s="1"/>
      <c r="AT27" s="18" t="s">
        <v>57</v>
      </c>
      <c r="AU27" s="28">
        <v>4.0029949332140182</v>
      </c>
      <c r="AV27" s="20">
        <v>1.9329949332140184</v>
      </c>
      <c r="AW27" s="22">
        <v>2.0115552428211148</v>
      </c>
      <c r="AX27" s="1"/>
      <c r="AY27" s="1"/>
      <c r="AZ27" s="1"/>
      <c r="BA27" s="1"/>
      <c r="BB27" s="1"/>
      <c r="BC27" s="1"/>
      <c r="BD27" s="1"/>
      <c r="BE27" s="1"/>
      <c r="BF27" s="1"/>
      <c r="BG27" s="1"/>
      <c r="BH27" s="1"/>
      <c r="BI27" s="1"/>
      <c r="BJ27" s="1"/>
      <c r="BK27" s="1"/>
      <c r="BL27" s="1"/>
      <c r="BM27" s="1"/>
      <c r="BN27" s="1"/>
      <c r="BO27" s="1"/>
      <c r="BP27" s="1"/>
      <c r="BQ27" s="1"/>
      <c r="BR27" s="1"/>
      <c r="BS27" s="1"/>
    </row>
    <row r="28" spans="1:71" x14ac:dyDescent="0.25">
      <c r="A28" s="1"/>
      <c r="B28" s="8"/>
      <c r="C28" s="8"/>
      <c r="D28" s="8"/>
      <c r="E28" s="8"/>
      <c r="F28" s="8"/>
      <c r="G28" s="8"/>
      <c r="H28" s="8"/>
      <c r="I28" s="8"/>
      <c r="J28" s="8"/>
      <c r="K28" s="8"/>
      <c r="L28" s="8"/>
      <c r="M28" s="8"/>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x14ac:dyDescent="0.25">
      <c r="A29" s="1"/>
      <c r="B29" s="8" t="s">
        <v>7</v>
      </c>
      <c r="C29" s="8"/>
      <c r="D29" s="8"/>
      <c r="E29" s="8"/>
      <c r="F29" s="8"/>
      <c r="G29" s="8"/>
      <c r="H29" s="8"/>
      <c r="I29" s="8"/>
      <c r="J29" s="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x14ac:dyDescent="0.25">
      <c r="A30" s="1"/>
      <c r="B30" s="11" t="s">
        <v>0</v>
      </c>
      <c r="C30" s="11" t="s">
        <v>1</v>
      </c>
      <c r="D30" s="11" t="s">
        <v>2</v>
      </c>
      <c r="E30" s="11" t="s">
        <v>3</v>
      </c>
      <c r="F30" s="8"/>
      <c r="G30" s="8"/>
      <c r="H30" s="8"/>
      <c r="I30" s="8"/>
      <c r="J30" s="8"/>
      <c r="K30" s="1"/>
      <c r="L30" s="1"/>
      <c r="M30" s="1"/>
      <c r="N30" s="1"/>
      <c r="O30" s="1"/>
      <c r="P30" s="1"/>
      <c r="Q30" s="1"/>
      <c r="R30" s="1"/>
      <c r="S30" s="1"/>
      <c r="T30" s="1"/>
      <c r="U30" s="1"/>
      <c r="V30" s="1"/>
      <c r="W30" s="1"/>
      <c r="X30" s="1"/>
      <c r="Y30" s="1"/>
      <c r="Z30" s="1"/>
      <c r="AA30" s="1"/>
      <c r="AB30" s="1"/>
      <c r="AC30" s="1"/>
      <c r="AD30" s="1" t="s">
        <v>38</v>
      </c>
      <c r="AE30" s="1"/>
      <c r="AF30" s="1"/>
      <c r="AG30" s="1"/>
      <c r="AH30" s="1"/>
      <c r="AI30" s="1"/>
      <c r="AJ30" s="1" t="s">
        <v>49</v>
      </c>
      <c r="AK30" s="1"/>
      <c r="AL30" s="1"/>
      <c r="AM30" s="1"/>
      <c r="AN30" s="1"/>
      <c r="AO30" s="1"/>
      <c r="AP30" s="1" t="s">
        <v>50</v>
      </c>
      <c r="AQ30" s="1"/>
      <c r="AR30" s="1"/>
      <c r="AS30" s="1"/>
      <c r="AT30" s="1"/>
      <c r="AU30" s="1"/>
      <c r="AV30" s="1" t="s">
        <v>51</v>
      </c>
      <c r="AW30" s="1"/>
      <c r="AX30" s="1"/>
      <c r="AY30" s="1"/>
      <c r="AZ30" s="1"/>
      <c r="BA30" s="1"/>
      <c r="BB30" s="1"/>
      <c r="BC30" s="1"/>
      <c r="BD30" s="1"/>
      <c r="BE30" s="1"/>
      <c r="BF30" s="1"/>
      <c r="BG30" s="1"/>
      <c r="BH30" s="1"/>
      <c r="BI30" s="1"/>
      <c r="BJ30" s="1"/>
      <c r="BK30" s="1"/>
      <c r="BL30" s="1"/>
      <c r="BM30" s="1"/>
      <c r="BN30" s="1"/>
      <c r="BO30" s="1"/>
      <c r="BP30" s="1"/>
      <c r="BQ30" s="1"/>
      <c r="BR30" s="1"/>
      <c r="BS30" s="1"/>
    </row>
    <row r="31" spans="1:71" x14ac:dyDescent="0.25">
      <c r="A31" s="1"/>
      <c r="B31" s="16">
        <v>1</v>
      </c>
      <c r="C31" s="7">
        <f>C15+7.36*$K$44</f>
        <v>10.306999999999999</v>
      </c>
      <c r="D31" s="6">
        <f>C31*E31</f>
        <v>1.2865880721220526</v>
      </c>
      <c r="E31" s="21">
        <v>0.12482662968099861</v>
      </c>
      <c r="F31" s="8"/>
      <c r="G31" s="8"/>
      <c r="H31" s="8"/>
      <c r="I31" s="8"/>
      <c r="J31" s="8"/>
      <c r="K31" s="1"/>
      <c r="L31" s="1"/>
      <c r="M31" s="1"/>
      <c r="N31" s="1"/>
      <c r="O31" s="1"/>
      <c r="P31" s="1"/>
      <c r="Q31" s="1"/>
      <c r="R31" s="1"/>
      <c r="S31" s="1"/>
      <c r="T31" s="1"/>
      <c r="U31" s="1"/>
      <c r="V31" s="1"/>
      <c r="W31" s="1"/>
      <c r="X31" s="1"/>
      <c r="Y31" s="1"/>
      <c r="Z31" s="1"/>
      <c r="AA31" s="1"/>
      <c r="AB31" s="1"/>
      <c r="AC31" s="1"/>
      <c r="AD31" s="1">
        <f>AC4/1.2</f>
        <v>3.4275000000000007</v>
      </c>
      <c r="AE31" s="1"/>
      <c r="AF31" s="1"/>
      <c r="AG31" s="1"/>
      <c r="AH31" s="1"/>
      <c r="AI31" s="1"/>
      <c r="AJ31" s="1">
        <f>AI4/1.2</f>
        <v>1.4991666666666668</v>
      </c>
      <c r="AK31" s="1"/>
      <c r="AL31" s="1"/>
      <c r="AM31" s="1"/>
      <c r="AN31" s="1"/>
      <c r="AO31" s="1"/>
      <c r="AP31" s="1">
        <f>AO4/1.2</f>
        <v>1.6608333333333334</v>
      </c>
      <c r="AQ31" s="1"/>
      <c r="AR31" s="1"/>
      <c r="AS31" s="1"/>
      <c r="AT31" s="1"/>
      <c r="AU31" s="1"/>
      <c r="AV31" s="1">
        <f>AU4/1.2</f>
        <v>1.7216666666666667</v>
      </c>
      <c r="AW31" s="1"/>
      <c r="AX31" s="1"/>
      <c r="AY31" s="1"/>
      <c r="AZ31" s="1"/>
      <c r="BA31" s="1"/>
      <c r="BB31" s="1"/>
      <c r="BC31" s="1"/>
      <c r="BD31" s="1"/>
      <c r="BE31" s="1"/>
      <c r="BF31" s="1"/>
      <c r="BG31" s="1"/>
      <c r="BH31" s="1"/>
      <c r="BI31" s="1"/>
      <c r="BJ31" s="1"/>
      <c r="BK31" s="1"/>
      <c r="BL31" s="1"/>
      <c r="BM31" s="1"/>
      <c r="BN31" s="1"/>
      <c r="BO31" s="1"/>
      <c r="BP31" s="1"/>
      <c r="BQ31" s="1"/>
      <c r="BR31" s="1"/>
      <c r="BS31" s="1"/>
    </row>
    <row r="32" spans="1:71" x14ac:dyDescent="0.25">
      <c r="A32" s="1"/>
      <c r="B32" s="16">
        <v>25</v>
      </c>
      <c r="C32" s="7">
        <f>C31/B46</f>
        <v>5.636685298196948</v>
      </c>
      <c r="D32" s="6">
        <f t="shared" ref="D32:D35" si="16">C32*E32</f>
        <v>0.5189238557558945</v>
      </c>
      <c r="E32" s="21">
        <v>9.2061881815876226E-2</v>
      </c>
      <c r="F32" s="8"/>
      <c r="G32" s="8"/>
      <c r="H32" s="8"/>
      <c r="I32" s="8"/>
      <c r="J32" s="8"/>
      <c r="K32" s="1"/>
      <c r="L32" s="1"/>
      <c r="M32" s="1"/>
      <c r="N32" s="1"/>
      <c r="O32" s="1"/>
      <c r="P32" s="1"/>
      <c r="Q32" s="1"/>
      <c r="R32" s="1"/>
      <c r="S32" s="1"/>
      <c r="T32" s="1"/>
      <c r="U32" s="1"/>
      <c r="V32" s="1" t="s">
        <v>37</v>
      </c>
      <c r="W32" s="1"/>
      <c r="X32" s="1"/>
      <c r="Y32" s="1"/>
      <c r="Z32" s="1"/>
      <c r="AA32" s="1"/>
      <c r="AB32" s="1"/>
      <c r="AC32" s="1">
        <f>AC5/AC4</f>
        <v>1.7529783612934595</v>
      </c>
      <c r="AD32" s="1">
        <f>AC5/AC7</f>
        <v>0.67616993341461129</v>
      </c>
      <c r="AE32" s="1"/>
      <c r="AF32" s="1"/>
      <c r="AG32" s="1"/>
      <c r="AH32" s="1"/>
      <c r="AI32" s="1">
        <f>AI5/AI4</f>
        <v>2.1917732073374099</v>
      </c>
      <c r="AJ32" s="1">
        <f>AI5/AI7</f>
        <v>0.4722721283986106</v>
      </c>
      <c r="AK32" s="1"/>
      <c r="AL32" s="1"/>
      <c r="AM32" s="1"/>
      <c r="AN32" s="1"/>
      <c r="AO32" s="1">
        <f>AO5/AO4</f>
        <v>1.88509784244857</v>
      </c>
      <c r="AP32" s="1">
        <f>AO5/AO7</f>
        <v>0.43977525459440481</v>
      </c>
      <c r="AQ32" s="1"/>
      <c r="AR32" s="1"/>
      <c r="AS32" s="1"/>
      <c r="AT32" s="1"/>
      <c r="AU32" s="1">
        <f>AU5/AU4</f>
        <v>1.8063891577928366</v>
      </c>
      <c r="AV32" s="1">
        <f>AU5/AU7</f>
        <v>0.43314763231197778</v>
      </c>
      <c r="AW32" s="1"/>
      <c r="AX32" s="1"/>
      <c r="AY32" s="1"/>
      <c r="AZ32" s="1"/>
      <c r="BA32" s="1"/>
      <c r="BB32" s="1"/>
      <c r="BC32" s="1"/>
      <c r="BD32" s="1"/>
      <c r="BE32" s="1"/>
      <c r="BF32" s="1"/>
      <c r="BG32" s="1"/>
      <c r="BH32" s="1"/>
      <c r="BI32" s="1"/>
      <c r="BJ32" s="1"/>
      <c r="BK32" s="1"/>
      <c r="BL32" s="1"/>
      <c r="BM32" s="1"/>
      <c r="BN32" s="1"/>
      <c r="BO32" s="1"/>
      <c r="BP32" s="1"/>
      <c r="BQ32" s="1"/>
      <c r="BR32" s="1"/>
      <c r="BS32" s="1"/>
    </row>
    <row r="33" spans="1:72" x14ac:dyDescent="0.25">
      <c r="A33" s="1"/>
      <c r="B33" s="16">
        <v>50</v>
      </c>
      <c r="C33" s="7">
        <f>C32/B47</f>
        <v>5.4351198335644924</v>
      </c>
      <c r="D33" s="6">
        <f t="shared" si="16"/>
        <v>0.21443134535367536</v>
      </c>
      <c r="E33" s="21">
        <v>3.9452919516044183E-2</v>
      </c>
      <c r="F33" s="8"/>
      <c r="G33" s="8"/>
      <c r="H33" s="8"/>
      <c r="I33" s="8"/>
      <c r="J33" s="8"/>
      <c r="K33" s="1"/>
      <c r="L33" s="1"/>
      <c r="M33" s="1"/>
      <c r="N33" s="1"/>
      <c r="O33" s="1"/>
      <c r="P33" s="1"/>
      <c r="Q33" s="1"/>
      <c r="R33" s="1"/>
      <c r="S33" s="1"/>
      <c r="T33" s="1"/>
      <c r="V33" s="1">
        <f>U4/1.2</f>
        <v>1.6075000000000002</v>
      </c>
      <c r="W33" s="1" t="s">
        <v>94</v>
      </c>
      <c r="X33" s="1"/>
      <c r="Y33" s="1"/>
      <c r="Z33" s="1"/>
      <c r="AA33" s="1"/>
      <c r="AB33" s="1"/>
      <c r="AC33" s="1">
        <f>AC6/AC4</f>
        <v>2.505956722586919</v>
      </c>
      <c r="AD33" s="1">
        <f>AC6/AC7</f>
        <v>0.96661352339866813</v>
      </c>
      <c r="AE33" s="1"/>
      <c r="AF33" s="1"/>
      <c r="AG33" s="1"/>
      <c r="AH33" s="1"/>
      <c r="AI33" s="1">
        <f>AI6/AI4</f>
        <v>3.1332325170633397</v>
      </c>
      <c r="AJ33" s="1">
        <f>AI6/AI7</f>
        <v>0.67513298577038539</v>
      </c>
      <c r="AK33" s="1"/>
      <c r="AL33" s="1"/>
      <c r="AM33" s="1"/>
      <c r="AN33" s="1"/>
      <c r="AO33" s="1">
        <f>AO6/AO4</f>
        <v>2.6948271098637178</v>
      </c>
      <c r="AP33" s="1">
        <f>AO6/AO7</f>
        <v>0.62867732997288894</v>
      </c>
      <c r="AQ33" s="1"/>
      <c r="AR33" s="1"/>
      <c r="AS33" s="1"/>
      <c r="AT33" s="1"/>
      <c r="AU33" s="1">
        <f>AU6/AU4</f>
        <v>2.5823097155854038</v>
      </c>
      <c r="AV33" s="1">
        <f>AU6/AU7</f>
        <v>0.61920286355611009</v>
      </c>
      <c r="AW33" s="1"/>
      <c r="AX33" s="1"/>
      <c r="AY33" s="1"/>
      <c r="AZ33" s="1"/>
      <c r="BA33" s="1"/>
      <c r="BB33" s="1"/>
      <c r="BC33" s="1"/>
      <c r="BD33" s="1"/>
      <c r="BE33" s="1"/>
      <c r="BF33" s="1"/>
      <c r="BG33" s="1"/>
      <c r="BH33" s="1"/>
      <c r="BI33" s="1"/>
      <c r="BJ33" s="1"/>
      <c r="BK33" s="1"/>
      <c r="BL33" s="1"/>
      <c r="BM33" s="1"/>
      <c r="BN33" s="1"/>
      <c r="BO33" s="1"/>
      <c r="BP33" s="1"/>
      <c r="BQ33" s="1"/>
      <c r="BR33" s="1"/>
      <c r="BS33" s="1"/>
    </row>
    <row r="34" spans="1:72" x14ac:dyDescent="0.25">
      <c r="A34" s="1"/>
      <c r="B34" s="16">
        <v>75</v>
      </c>
      <c r="C34" s="7">
        <f>C33/B48</f>
        <v>5.3707904299583902</v>
      </c>
      <c r="D34" s="6">
        <f t="shared" si="16"/>
        <v>0.12437018030513172</v>
      </c>
      <c r="E34" s="21">
        <v>2.3156774021825921E-2</v>
      </c>
      <c r="F34" s="8"/>
      <c r="G34" s="8"/>
      <c r="H34" s="8"/>
      <c r="I34" s="8"/>
      <c r="J34" s="8"/>
      <c r="K34" s="1"/>
      <c r="L34" s="1"/>
      <c r="M34" s="1"/>
      <c r="N34" s="1"/>
      <c r="O34" s="1"/>
      <c r="P34" s="1"/>
      <c r="Q34" s="1"/>
      <c r="R34" s="1"/>
      <c r="S34" s="1"/>
      <c r="T34" s="1"/>
      <c r="U34" s="1">
        <f>U5/U4</f>
        <v>1.9709694142042509</v>
      </c>
      <c r="V34" s="1">
        <f>U5/U7</f>
        <v>0.44840193419035268</v>
      </c>
      <c r="W34" s="1" t="s">
        <v>96</v>
      </c>
      <c r="X34" s="1"/>
      <c r="Y34" s="1"/>
      <c r="Z34" s="1"/>
      <c r="AA34" s="1"/>
      <c r="AB34" s="1"/>
      <c r="AC34" s="1">
        <f>AC7/AC4</f>
        <v>2.5925115487478725</v>
      </c>
      <c r="AD34" s="1">
        <f>AC8/AC7</f>
        <v>1.6854468723623743</v>
      </c>
      <c r="AE34" s="1"/>
      <c r="AF34" s="1"/>
      <c r="AG34" s="1"/>
      <c r="AH34" s="1"/>
      <c r="AI34" s="1">
        <f>AI7/AI4</f>
        <v>4.6409116175653145</v>
      </c>
      <c r="AJ34" s="1">
        <f>AI8/AI7</f>
        <v>1.3862076428245913</v>
      </c>
      <c r="AK34" s="1"/>
      <c r="AL34" s="1"/>
      <c r="AM34" s="1"/>
      <c r="AN34" s="1"/>
      <c r="AO34" s="1">
        <f>AO7/AO4</f>
        <v>4.2865027596588048</v>
      </c>
      <c r="AP34" s="1">
        <f>AO8/AO7</f>
        <v>1.3371527537887447</v>
      </c>
      <c r="AQ34" s="1"/>
      <c r="AR34" s="1"/>
      <c r="AS34" s="1"/>
      <c r="AT34" s="1"/>
      <c r="AU34" s="1">
        <f>AU7/AU4</f>
        <v>4.1703775411423045</v>
      </c>
      <c r="AV34" s="1">
        <f>AU8/AU7</f>
        <v>1.3270004900333214</v>
      </c>
      <c r="AW34" s="1"/>
      <c r="AX34" s="1"/>
      <c r="AY34" s="1"/>
      <c r="AZ34" s="1"/>
      <c r="BA34" s="1"/>
      <c r="BB34" s="1"/>
      <c r="BC34" s="1"/>
      <c r="BD34" s="1"/>
      <c r="BE34" s="1"/>
      <c r="BF34" s="1"/>
      <c r="BG34" s="1"/>
      <c r="BH34" s="1"/>
      <c r="BI34" s="1"/>
      <c r="BJ34" s="1"/>
      <c r="BK34" s="1"/>
      <c r="BL34" s="1"/>
      <c r="BM34" s="1"/>
      <c r="BN34" s="1"/>
      <c r="BO34" s="1"/>
      <c r="BP34" s="1"/>
      <c r="BQ34" s="1"/>
      <c r="BR34" s="1"/>
      <c r="BS34" s="1"/>
    </row>
    <row r="35" spans="1:72" x14ac:dyDescent="0.25">
      <c r="A35" s="1"/>
      <c r="B35" s="16">
        <v>100</v>
      </c>
      <c r="C35" s="7">
        <f>C34/B49</f>
        <v>5.3350518723994442</v>
      </c>
      <c r="D35" s="6">
        <f t="shared" si="16"/>
        <v>8.8631622746185829E-2</v>
      </c>
      <c r="E35" s="21">
        <v>1.6613076098606645E-2</v>
      </c>
      <c r="F35" s="8"/>
      <c r="G35" s="8"/>
      <c r="H35" s="8"/>
      <c r="I35" s="8"/>
      <c r="J35" s="8"/>
      <c r="K35" s="1"/>
      <c r="L35" s="1"/>
      <c r="M35" s="1"/>
      <c r="N35" s="1"/>
      <c r="O35" s="1"/>
      <c r="P35" s="1"/>
      <c r="Q35" s="1"/>
      <c r="R35" s="1"/>
      <c r="S35" s="1"/>
      <c r="T35" s="1"/>
      <c r="U35" s="1">
        <f>U6/U4</f>
        <v>2.8175841542584199</v>
      </c>
      <c r="V35" s="1">
        <f>U6/U7</f>
        <v>0.64100953338418365</v>
      </c>
      <c r="W35" s="1" t="s">
        <v>97</v>
      </c>
      <c r="X35" s="1"/>
      <c r="Y35" s="1"/>
      <c r="Z35" s="1"/>
      <c r="AA35" s="1"/>
      <c r="AB35" s="1"/>
      <c r="AC35" s="1">
        <f>AC8/AC4</f>
        <v>4.3695404814004366</v>
      </c>
      <c r="AD35" s="1"/>
      <c r="AE35" s="1"/>
      <c r="AF35" s="1"/>
      <c r="AG35" s="1"/>
      <c r="AH35" s="1"/>
      <c r="AI35" s="1">
        <f>AI8/AI4</f>
        <v>6.4332671539424755</v>
      </c>
      <c r="AJ35" s="1"/>
      <c r="AK35" s="1"/>
      <c r="AL35" s="1"/>
      <c r="AM35" s="1"/>
      <c r="AN35" s="1"/>
      <c r="AO35" s="1">
        <f>AO8/AO4</f>
        <v>5.7317089692008256</v>
      </c>
      <c r="AP35" s="1"/>
      <c r="AQ35" s="1"/>
      <c r="AR35" s="1"/>
      <c r="AS35" s="1"/>
      <c r="AT35" s="1"/>
      <c r="AU35" s="1">
        <f>AU8/AU4</f>
        <v>5.5340930407197959</v>
      </c>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2" x14ac:dyDescent="0.25">
      <c r="A36" s="1"/>
      <c r="B36" s="1"/>
      <c r="C36" s="1"/>
      <c r="D36" s="1"/>
      <c r="E36" s="1"/>
      <c r="F36" s="1"/>
      <c r="G36" s="1"/>
      <c r="H36" s="1"/>
      <c r="I36" s="1"/>
      <c r="J36" s="1"/>
      <c r="K36" s="1"/>
      <c r="L36" s="1"/>
      <c r="M36" s="1"/>
      <c r="N36" s="1"/>
      <c r="O36" s="1"/>
      <c r="P36" s="1"/>
      <c r="Q36" s="1"/>
      <c r="R36" s="1"/>
      <c r="S36" s="1"/>
      <c r="T36" s="1"/>
      <c r="U36" s="1">
        <f>U7/U4</f>
        <v>4.3955417314670813</v>
      </c>
      <c r="V36" s="1">
        <f>U8/U7</f>
        <v>1.3502676212776097</v>
      </c>
      <c r="W36" s="1" t="s">
        <v>98</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x14ac:dyDescent="0.25">
      <c r="A37" s="1"/>
      <c r="B37" s="1"/>
      <c r="C37" s="1"/>
      <c r="D37" s="1"/>
      <c r="E37" s="1"/>
      <c r="F37" s="1"/>
      <c r="G37" s="1"/>
      <c r="H37" s="1"/>
      <c r="I37" s="1"/>
      <c r="J37" s="1"/>
      <c r="K37" s="1"/>
      <c r="L37" s="1"/>
      <c r="M37" s="1"/>
      <c r="N37" s="1"/>
      <c r="O37" s="1"/>
      <c r="P37" s="1"/>
      <c r="Q37" s="1"/>
      <c r="R37" s="1"/>
      <c r="S37" s="1"/>
      <c r="T37" s="1"/>
      <c r="U37" s="1">
        <f>U8/U4</f>
        <v>5.9351576779745212</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x14ac:dyDescent="0.25">
      <c r="A40" s="1"/>
      <c r="B40" s="1"/>
      <c r="C40" s="26"/>
      <c r="D40" s="26"/>
      <c r="E40" s="26"/>
      <c r="F40" s="26"/>
      <c r="G40" s="26"/>
      <c r="H40" s="26"/>
      <c r="I40" s="26"/>
      <c r="J40" s="26"/>
      <c r="K40" s="26"/>
      <c r="L40" s="26"/>
      <c r="M40" s="26"/>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x14ac:dyDescent="0.25">
      <c r="B41" s="26"/>
      <c r="C41" s="26"/>
      <c r="D41" s="26"/>
      <c r="E41" s="26"/>
      <c r="F41" s="26"/>
      <c r="G41" s="26"/>
      <c r="H41" s="26"/>
      <c r="I41" s="26"/>
      <c r="J41" s="26"/>
      <c r="K41" s="26"/>
      <c r="L41" s="26"/>
      <c r="M41" s="26"/>
      <c r="R41" s="1"/>
      <c r="S41" s="1"/>
      <c r="T41" s="1"/>
      <c r="Y41" s="1"/>
      <c r="Z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x14ac:dyDescent="0.25">
      <c r="B42" s="26"/>
      <c r="C42" s="26"/>
      <c r="D42" s="26"/>
      <c r="E42" s="26"/>
      <c r="F42" s="26"/>
      <c r="G42" s="26"/>
      <c r="H42" s="26"/>
      <c r="I42" s="26"/>
      <c r="J42" s="26"/>
      <c r="K42" s="26"/>
      <c r="L42" s="26"/>
      <c r="M42" s="26"/>
      <c r="R42" s="1"/>
      <c r="S42" s="1"/>
      <c r="T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x14ac:dyDescent="0.25">
      <c r="B43" s="26"/>
      <c r="C43" s="26"/>
      <c r="D43" s="26"/>
      <c r="E43" s="26"/>
      <c r="F43" s="26"/>
      <c r="G43" s="26"/>
      <c r="H43" s="26"/>
      <c r="I43" s="26"/>
      <c r="J43" s="26"/>
      <c r="K43" s="26"/>
      <c r="L43" s="26"/>
      <c r="M43" s="26"/>
      <c r="R43" s="1"/>
      <c r="S43" s="1"/>
      <c r="T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x14ac:dyDescent="0.25">
      <c r="B44" s="26" t="s">
        <v>9</v>
      </c>
      <c r="C44" s="26"/>
      <c r="D44" s="26"/>
      <c r="E44" s="26"/>
      <c r="F44" s="26" t="s">
        <v>10</v>
      </c>
      <c r="G44" s="26"/>
      <c r="H44" s="26" t="s">
        <v>11</v>
      </c>
      <c r="I44" s="26"/>
      <c r="J44" s="26"/>
      <c r="K44" s="26">
        <f>B45/3.68</f>
        <v>0.84157608695652153</v>
      </c>
      <c r="L44" s="26" t="s">
        <v>19</v>
      </c>
      <c r="M44" s="26"/>
      <c r="R44" s="1"/>
      <c r="S44" s="1"/>
      <c r="T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x14ac:dyDescent="0.25">
      <c r="A45" s="1"/>
      <c r="B45" s="27">
        <f>C23-C15</f>
        <v>3.0969999999999995</v>
      </c>
      <c r="C45" s="26" t="s">
        <v>88</v>
      </c>
      <c r="D45" s="26"/>
      <c r="E45" s="26"/>
      <c r="F45" s="26"/>
      <c r="G45" s="26"/>
      <c r="H45" s="26"/>
      <c r="I45" s="26"/>
      <c r="J45" s="26"/>
      <c r="K45" s="26"/>
      <c r="L45" s="26" t="s">
        <v>19</v>
      </c>
      <c r="M45" s="26"/>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row>
    <row r="46" spans="1:72" x14ac:dyDescent="0.25">
      <c r="A46" s="1"/>
      <c r="B46" s="26">
        <f>C23/C24</f>
        <v>1.8285569363428862</v>
      </c>
      <c r="C46" s="59" t="s">
        <v>89</v>
      </c>
      <c r="D46" s="26"/>
      <c r="E46" s="26"/>
      <c r="F46" s="26">
        <f>L15/L16</f>
        <v>1.2771589411905617</v>
      </c>
      <c r="G46" s="26"/>
      <c r="H46" s="26">
        <f>(F46+B46)/2</f>
        <v>1.5528579387667238</v>
      </c>
      <c r="I46" s="59" t="s">
        <v>89</v>
      </c>
      <c r="J46" s="26"/>
      <c r="K46" s="26"/>
      <c r="L46" s="26"/>
      <c r="M46" s="26"/>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x14ac:dyDescent="0.25">
      <c r="A47" s="1"/>
      <c r="B47" s="26">
        <f>C24/C25</f>
        <v>1.0370857443450816</v>
      </c>
      <c r="C47" s="59" t="s">
        <v>90</v>
      </c>
      <c r="D47" s="26"/>
      <c r="E47" s="26"/>
      <c r="F47" s="26">
        <f>L16/L17</f>
        <v>0.98466800330227633</v>
      </c>
      <c r="G47" s="26"/>
      <c r="H47" s="26">
        <f t="shared" ref="H47:H49" si="17">(F47+B47)/2</f>
        <v>1.0108768738236789</v>
      </c>
      <c r="I47" s="59" t="s">
        <v>90</v>
      </c>
      <c r="J47" s="26"/>
      <c r="K47" s="26"/>
      <c r="L47" s="26"/>
      <c r="M47" s="26"/>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x14ac:dyDescent="0.25">
      <c r="A48" s="1"/>
      <c r="B48" s="26">
        <f>C25/C26</f>
        <v>1.0119776417354271</v>
      </c>
      <c r="C48" s="59" t="s">
        <v>91</v>
      </c>
      <c r="D48" s="26"/>
      <c r="E48" s="26"/>
      <c r="F48" s="26">
        <f>L17/L18</f>
        <v>0.99250848648015921</v>
      </c>
      <c r="G48" s="26"/>
      <c r="H48" s="26">
        <f t="shared" si="17"/>
        <v>1.0022430641077933</v>
      </c>
      <c r="I48" s="59" t="s">
        <v>91</v>
      </c>
      <c r="J48" s="26"/>
      <c r="K48" s="26"/>
      <c r="L48" s="26"/>
      <c r="M48" s="26"/>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x14ac:dyDescent="0.25">
      <c r="A49" s="1"/>
      <c r="B49" s="26">
        <f>C26/C27</f>
        <v>1.0066988210075027</v>
      </c>
      <c r="C49" s="59" t="s">
        <v>92</v>
      </c>
      <c r="D49" s="26"/>
      <c r="E49" s="26"/>
      <c r="F49" s="26">
        <f>L18/L19</f>
        <v>0.9915273909006499</v>
      </c>
      <c r="G49" s="26"/>
      <c r="H49" s="26">
        <f t="shared" si="17"/>
        <v>0.99911310595407632</v>
      </c>
      <c r="I49" s="59" t="s">
        <v>92</v>
      </c>
      <c r="J49" s="26"/>
      <c r="K49" s="26"/>
      <c r="L49" s="26"/>
      <c r="M49" s="26"/>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x14ac:dyDescent="0.25">
      <c r="A50" s="1"/>
      <c r="B50" s="26"/>
      <c r="C50" s="26"/>
      <c r="D50" s="26"/>
      <c r="E50" s="26"/>
      <c r="F50" s="26"/>
      <c r="G50" s="26"/>
      <c r="H50" s="26"/>
      <c r="I50" s="26"/>
      <c r="J50" s="26"/>
      <c r="K50" s="26"/>
      <c r="L50" s="26"/>
      <c r="M50" s="26"/>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x14ac:dyDescent="0.25">
      <c r="A51" s="1"/>
      <c r="B51" s="26"/>
      <c r="C51" s="26"/>
      <c r="D51" s="26"/>
      <c r="E51" s="26"/>
      <c r="F51" s="26"/>
      <c r="G51" s="23"/>
      <c r="H51" s="23"/>
      <c r="I51" s="23"/>
      <c r="J51" s="23"/>
      <c r="K51" s="23"/>
      <c r="L51" s="23"/>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7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x14ac:dyDescent="0.25">
      <c r="BN57" s="1"/>
      <c r="BO57" s="1"/>
      <c r="BP57" s="1"/>
      <c r="BQ57" s="1"/>
      <c r="BR57" s="1"/>
      <c r="BS57" s="1"/>
      <c r="BT57" s="1"/>
    </row>
  </sheetData>
  <mergeCells count="3">
    <mergeCell ref="X3:X8"/>
    <mergeCell ref="K21:N21"/>
    <mergeCell ref="O22:O27"/>
  </mergeCells>
  <pageMargins left="0.7" right="0.7" top="0.75" bottom="0.75" header="0.3" footer="0.3"/>
  <pageSetup paperSize="9" orientation="portrait" r:id="rId1"/>
  <headerFooter>
    <oddFooter>&amp;C&amp;1#&amp;"Calibri"&amp;12&amp;K008000Internal Use</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8A2D9-FC6E-4C7E-93DD-C3D9798B11FB}">
  <sheetPr>
    <tabColor rgb="FFFF0000"/>
  </sheetPr>
  <dimension ref="A1:BT57"/>
  <sheetViews>
    <sheetView topLeftCell="R1" zoomScaleNormal="100" workbookViewId="0">
      <selection activeCell="BJ24" sqref="BJ24"/>
    </sheetView>
  </sheetViews>
  <sheetFormatPr defaultRowHeight="15" x14ac:dyDescent="0.25"/>
  <cols>
    <col min="1" max="1" width="9.140625" customWidth="1"/>
    <col min="2" max="2" width="32.85546875" customWidth="1"/>
    <col min="3" max="10" width="9.140625" customWidth="1"/>
    <col min="11" max="11" width="31.85546875" customWidth="1"/>
    <col min="12" max="19" width="9.140625" customWidth="1"/>
    <col min="20" max="20" width="66.28515625" customWidth="1"/>
    <col min="21" max="21" width="9.140625" customWidth="1"/>
    <col min="22" max="22" width="19.7109375" customWidth="1"/>
    <col min="23" max="23" width="9.140625" customWidth="1"/>
    <col min="24" max="24" width="16.5703125" customWidth="1"/>
    <col min="25" max="27" width="9.140625" customWidth="1"/>
    <col min="28" max="28" width="63.140625" customWidth="1"/>
    <col min="29" max="29" width="9.140625" customWidth="1"/>
    <col min="30" max="30" width="19.7109375" customWidth="1"/>
    <col min="31" max="33" width="9.140625" customWidth="1"/>
    <col min="34" max="34" width="65.28515625" customWidth="1"/>
    <col min="35" max="35" width="9.140625" customWidth="1"/>
    <col min="36" max="36" width="21.28515625" customWidth="1"/>
    <col min="37" max="39" width="9.140625" customWidth="1"/>
    <col min="40" max="40" width="65.28515625" customWidth="1"/>
    <col min="41" max="41" width="9.140625" customWidth="1"/>
    <col min="42" max="42" width="24.28515625" customWidth="1"/>
    <col min="43" max="45" width="9.140625" customWidth="1"/>
    <col min="46" max="46" width="65.28515625" customWidth="1"/>
    <col min="47" max="47" width="9.140625" customWidth="1"/>
    <col min="48" max="48" width="19.140625" customWidth="1"/>
    <col min="49" max="51" width="9.140625" customWidth="1"/>
    <col min="52" max="52" width="40.5703125" customWidth="1"/>
    <col min="53" max="53" width="31.140625" customWidth="1"/>
    <col min="54" max="54" width="10" bestFit="1" customWidth="1"/>
  </cols>
  <sheetData>
    <row r="1" spans="1:7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1:71" x14ac:dyDescent="0.25">
      <c r="A2" s="1"/>
      <c r="B2" s="2" t="s">
        <v>4</v>
      </c>
      <c r="C2" s="2"/>
      <c r="D2" s="2"/>
      <c r="E2" s="3"/>
      <c r="F2" s="3"/>
      <c r="G2" s="3"/>
      <c r="H2" s="3"/>
      <c r="I2" s="3"/>
      <c r="J2" s="3"/>
      <c r="K2" s="2" t="s">
        <v>204</v>
      </c>
      <c r="L2" s="2"/>
      <c r="M2" s="2"/>
      <c r="N2" s="3"/>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1:71" x14ac:dyDescent="0.25">
      <c r="A3" s="1"/>
      <c r="B3" s="5" t="s">
        <v>0</v>
      </c>
      <c r="C3" s="5" t="s">
        <v>1</v>
      </c>
      <c r="D3" s="5" t="s">
        <v>2</v>
      </c>
      <c r="E3" s="5" t="s">
        <v>3</v>
      </c>
      <c r="F3" s="4"/>
      <c r="G3" s="4"/>
      <c r="H3" s="4"/>
      <c r="I3" s="4"/>
      <c r="J3" s="4"/>
      <c r="K3" s="14" t="s">
        <v>0</v>
      </c>
      <c r="L3" s="14" t="s">
        <v>1</v>
      </c>
      <c r="M3" s="14" t="s">
        <v>2</v>
      </c>
      <c r="N3" s="14" t="s">
        <v>3</v>
      </c>
      <c r="O3" s="1"/>
      <c r="P3" s="1"/>
      <c r="Q3" s="1"/>
      <c r="R3" s="1"/>
      <c r="S3" s="1"/>
      <c r="T3" s="19" t="s">
        <v>22</v>
      </c>
      <c r="U3" s="19" t="s">
        <v>8</v>
      </c>
      <c r="V3" s="19" t="s">
        <v>12</v>
      </c>
      <c r="W3" s="19" t="s">
        <v>13</v>
      </c>
      <c r="X3" s="475" t="s">
        <v>93</v>
      </c>
      <c r="Y3" s="1"/>
      <c r="Z3" s="1"/>
      <c r="AA3" s="1"/>
      <c r="AB3" s="19" t="s">
        <v>30</v>
      </c>
      <c r="AC3" s="19" t="s">
        <v>8</v>
      </c>
      <c r="AD3" s="19" t="s">
        <v>12</v>
      </c>
      <c r="AE3" s="19" t="s">
        <v>13</v>
      </c>
      <c r="AF3" s="1"/>
      <c r="AG3" s="1"/>
      <c r="AH3" s="19" t="s">
        <v>40</v>
      </c>
      <c r="AI3" s="19" t="s">
        <v>8</v>
      </c>
      <c r="AJ3" s="19" t="s">
        <v>12</v>
      </c>
      <c r="AK3" s="19" t="s">
        <v>13</v>
      </c>
      <c r="AL3" s="1"/>
      <c r="AM3" s="1"/>
      <c r="AN3" s="19" t="s">
        <v>41</v>
      </c>
      <c r="AO3" s="19" t="s">
        <v>8</v>
      </c>
      <c r="AP3" s="19" t="s">
        <v>12</v>
      </c>
      <c r="AQ3" s="19" t="s">
        <v>13</v>
      </c>
      <c r="AR3" s="1"/>
      <c r="AS3" s="1"/>
      <c r="AT3" s="19" t="s">
        <v>42</v>
      </c>
      <c r="AU3" s="19" t="s">
        <v>8</v>
      </c>
      <c r="AV3" s="19" t="s">
        <v>12</v>
      </c>
      <c r="AW3" s="19" t="s">
        <v>13</v>
      </c>
      <c r="AX3" s="1"/>
      <c r="AY3" s="1"/>
      <c r="AZ3" s="106" t="s">
        <v>52</v>
      </c>
      <c r="BA3" s="106" t="s">
        <v>54</v>
      </c>
      <c r="BB3" s="106" t="s">
        <v>60</v>
      </c>
      <c r="BC3" s="1"/>
      <c r="BD3" s="1"/>
      <c r="BE3" s="1"/>
      <c r="BF3" s="1"/>
      <c r="BG3" s="1"/>
      <c r="BH3" s="1"/>
      <c r="BI3" s="1"/>
      <c r="BJ3" s="1"/>
      <c r="BK3" s="1"/>
      <c r="BL3" s="1"/>
      <c r="BM3" s="1"/>
      <c r="BN3" s="1"/>
      <c r="BO3" s="1"/>
      <c r="BP3" s="1"/>
      <c r="BQ3" s="1"/>
      <c r="BR3" s="1"/>
      <c r="BS3" s="1"/>
    </row>
    <row r="4" spans="1:71" x14ac:dyDescent="0.25">
      <c r="A4" s="1"/>
      <c r="B4" s="16">
        <v>1</v>
      </c>
      <c r="C4" s="7">
        <v>3.5870000000000002</v>
      </c>
      <c r="D4" s="6">
        <v>0.54900000000000004</v>
      </c>
      <c r="E4" s="21">
        <f>D4/C4</f>
        <v>0.15305269027042098</v>
      </c>
      <c r="F4" s="8"/>
      <c r="G4" s="8"/>
      <c r="H4" s="8"/>
      <c r="I4" s="8"/>
      <c r="J4" s="8"/>
      <c r="K4" s="17">
        <v>1</v>
      </c>
      <c r="L4" s="7">
        <v>2.8439999999999999</v>
      </c>
      <c r="M4" s="9">
        <v>0.54900000000000004</v>
      </c>
      <c r="N4" s="21">
        <f>M4/L4</f>
        <v>0.19303797468354433</v>
      </c>
      <c r="O4" s="1"/>
      <c r="P4" s="1"/>
      <c r="Q4" s="1"/>
      <c r="R4" s="1"/>
      <c r="S4" s="1"/>
      <c r="T4" s="18" t="s">
        <v>21</v>
      </c>
      <c r="U4" s="7">
        <f>C17</f>
        <v>1.929</v>
      </c>
      <c r="V4" s="20">
        <f>U4-$U$4</f>
        <v>0</v>
      </c>
      <c r="W4" s="22">
        <v>0</v>
      </c>
      <c r="X4" s="475"/>
      <c r="Y4" s="1"/>
      <c r="Z4" s="1"/>
      <c r="AA4" s="1"/>
      <c r="AB4" s="18" t="s">
        <v>21</v>
      </c>
      <c r="AC4" s="7">
        <f>C15</f>
        <v>4.1130000000000004</v>
      </c>
      <c r="AD4" s="20">
        <f>AC4-$AC$4</f>
        <v>0</v>
      </c>
      <c r="AE4" s="22">
        <v>0</v>
      </c>
      <c r="AF4" s="1"/>
      <c r="AG4" s="1"/>
      <c r="AH4" s="18" t="s">
        <v>21</v>
      </c>
      <c r="AI4" s="7">
        <f>C16</f>
        <v>1.7989999999999999</v>
      </c>
      <c r="AJ4" s="20">
        <f>AI4-$AI$4</f>
        <v>0</v>
      </c>
      <c r="AK4" s="22">
        <v>0</v>
      </c>
      <c r="AL4" s="1"/>
      <c r="AM4" s="1"/>
      <c r="AN4" s="18" t="s">
        <v>21</v>
      </c>
      <c r="AO4" s="7">
        <f>C18</f>
        <v>1.9930000000000001</v>
      </c>
      <c r="AP4" s="20">
        <f>AO4-$AO$4</f>
        <v>0</v>
      </c>
      <c r="AQ4" s="22">
        <v>0</v>
      </c>
      <c r="AR4" s="1"/>
      <c r="AS4" s="1"/>
      <c r="AT4" s="18" t="s">
        <v>21</v>
      </c>
      <c r="AU4" s="7">
        <f>C19</f>
        <v>2.0659999999999998</v>
      </c>
      <c r="AV4" s="20">
        <f>AU4-$U$4</f>
        <v>0.13699999999999979</v>
      </c>
      <c r="AW4" s="22">
        <v>0</v>
      </c>
      <c r="AX4" s="1"/>
      <c r="AY4" s="1"/>
      <c r="AZ4" s="107" t="s">
        <v>61</v>
      </c>
      <c r="BA4" s="108" t="s">
        <v>63</v>
      </c>
      <c r="BB4" s="109">
        <v>25</v>
      </c>
      <c r="BC4" s="1"/>
      <c r="BD4" s="1"/>
      <c r="BE4" s="1"/>
      <c r="BF4" s="1"/>
      <c r="BG4" s="1"/>
      <c r="BH4" s="1"/>
      <c r="BI4" s="1"/>
      <c r="BJ4" s="1"/>
      <c r="BK4" s="1"/>
      <c r="BL4" s="1"/>
      <c r="BM4" s="1"/>
      <c r="BN4" s="1"/>
      <c r="BO4" s="1"/>
      <c r="BP4" s="1"/>
      <c r="BQ4" s="1"/>
      <c r="BR4" s="1"/>
      <c r="BS4" s="1"/>
    </row>
    <row r="5" spans="1:71" x14ac:dyDescent="0.25">
      <c r="A5" s="1"/>
      <c r="B5" s="16">
        <v>25</v>
      </c>
      <c r="C5" s="7">
        <v>3.7559999999999998</v>
      </c>
      <c r="D5" s="6">
        <v>2.1000000000000001E-2</v>
      </c>
      <c r="E5" s="21">
        <f t="shared" ref="E5:E8" si="0">D5/C5</f>
        <v>5.5910543130990422E-3</v>
      </c>
      <c r="F5" s="8"/>
      <c r="G5" s="8"/>
      <c r="H5" s="8"/>
      <c r="I5" s="8"/>
      <c r="J5" s="8"/>
      <c r="K5" s="17">
        <v>25</v>
      </c>
      <c r="L5" s="7">
        <v>1.58</v>
      </c>
      <c r="M5" s="9">
        <v>0.317</v>
      </c>
      <c r="N5" s="21">
        <f t="shared" ref="N5:N8" si="1">M5/L5</f>
        <v>0.20063291139240505</v>
      </c>
      <c r="O5" s="1"/>
      <c r="P5" s="1"/>
      <c r="Q5" s="1"/>
      <c r="R5" s="1"/>
      <c r="S5" s="1"/>
      <c r="T5" s="18" t="s">
        <v>16</v>
      </c>
      <c r="U5" s="7">
        <f>C25</f>
        <v>3.802</v>
      </c>
      <c r="V5" s="20">
        <f>U5-$U$4</f>
        <v>1.873</v>
      </c>
      <c r="W5" s="22">
        <f>U5/$U$4</f>
        <v>1.9709694142042509</v>
      </c>
      <c r="X5" s="475"/>
      <c r="Y5" s="1"/>
      <c r="Z5" s="1"/>
      <c r="AA5" s="1"/>
      <c r="AB5" s="18" t="s">
        <v>16</v>
      </c>
      <c r="AC5" s="7">
        <f>C23</f>
        <v>7.21</v>
      </c>
      <c r="AD5" s="20">
        <f t="shared" ref="AD5:AD8" si="2">AC5-$AC$4</f>
        <v>3.0969999999999995</v>
      </c>
      <c r="AE5" s="22">
        <f>AC5/$AC$4</f>
        <v>1.7529783612934595</v>
      </c>
      <c r="AF5" s="1"/>
      <c r="AG5" s="1"/>
      <c r="AH5" s="18" t="s">
        <v>16</v>
      </c>
      <c r="AI5" s="7">
        <f>C24</f>
        <v>3.9430000000000001</v>
      </c>
      <c r="AJ5" s="20">
        <f t="shared" ref="AJ5:AJ8" si="3">AI5-$AI$4</f>
        <v>2.1440000000000001</v>
      </c>
      <c r="AK5" s="22">
        <f>AI5/$AI$4</f>
        <v>2.1917732073374099</v>
      </c>
      <c r="AL5" s="1"/>
      <c r="AM5" s="1"/>
      <c r="AN5" s="18" t="s">
        <v>16</v>
      </c>
      <c r="AO5" s="7">
        <f>C26</f>
        <v>3.7570000000000001</v>
      </c>
      <c r="AP5" s="20">
        <f t="shared" ref="AP5:AP8" si="4">AO5-$AO$4</f>
        <v>1.764</v>
      </c>
      <c r="AQ5" s="22">
        <f>AO5/$AO$4</f>
        <v>1.88509784244857</v>
      </c>
      <c r="AR5" s="1"/>
      <c r="AS5" s="1"/>
      <c r="AT5" s="18" t="s">
        <v>16</v>
      </c>
      <c r="AU5" s="7">
        <f>C27</f>
        <v>3.7320000000000002</v>
      </c>
      <c r="AV5" s="20">
        <f>AU5-$U$4</f>
        <v>1.8030000000000002</v>
      </c>
      <c r="AW5" s="22">
        <f>AU5/$U$4</f>
        <v>1.9346811819595646</v>
      </c>
      <c r="AX5" s="1"/>
      <c r="AY5" s="1"/>
      <c r="AZ5" s="110" t="s">
        <v>62</v>
      </c>
      <c r="BA5" s="111" t="s">
        <v>56</v>
      </c>
      <c r="BB5" s="112">
        <v>0</v>
      </c>
      <c r="BC5" s="1"/>
      <c r="BD5" s="1"/>
      <c r="BE5" s="1"/>
      <c r="BF5" s="1"/>
      <c r="BG5" s="1"/>
      <c r="BH5" s="1"/>
      <c r="BI5" s="1"/>
      <c r="BJ5" s="1"/>
      <c r="BK5" s="1"/>
      <c r="BL5" s="1"/>
      <c r="BM5" s="1"/>
      <c r="BN5" s="1"/>
      <c r="BO5" s="1"/>
      <c r="BP5" s="1"/>
      <c r="BQ5" s="1"/>
      <c r="BR5" s="1"/>
      <c r="BS5" s="1"/>
    </row>
    <row r="6" spans="1:71" x14ac:dyDescent="0.25">
      <c r="A6" s="1"/>
      <c r="B6" s="16">
        <v>50</v>
      </c>
      <c r="C6" s="7">
        <v>3.7370000000000001</v>
      </c>
      <c r="D6" s="6">
        <v>3.1E-2</v>
      </c>
      <c r="E6" s="21">
        <f t="shared" si="0"/>
        <v>8.2954241370082945E-3</v>
      </c>
      <c r="F6" s="8"/>
      <c r="G6" s="10"/>
      <c r="H6" s="8"/>
      <c r="I6" s="8"/>
      <c r="J6" s="8"/>
      <c r="K6" s="17">
        <v>50</v>
      </c>
      <c r="L6" s="7">
        <v>1.389</v>
      </c>
      <c r="M6" s="9">
        <v>0.192</v>
      </c>
      <c r="N6" s="21">
        <f t="shared" si="1"/>
        <v>0.13822894168466524</v>
      </c>
      <c r="O6" s="1"/>
      <c r="P6" s="1"/>
      <c r="Q6" s="1"/>
      <c r="R6" s="1"/>
      <c r="S6" s="1"/>
      <c r="T6" s="18" t="s">
        <v>17</v>
      </c>
      <c r="U6" s="7">
        <f>C33</f>
        <v>5.4351198335644924</v>
      </c>
      <c r="V6" s="20">
        <f>U6-$U$4</f>
        <v>3.5061198335644921</v>
      </c>
      <c r="W6" s="22">
        <f t="shared" ref="W6:W8" si="5">U6/$U$4</f>
        <v>2.8175841542584199</v>
      </c>
      <c r="X6" s="475"/>
      <c r="Y6" s="1"/>
      <c r="Z6" s="1"/>
      <c r="AA6" s="1"/>
      <c r="AB6" s="18" t="s">
        <v>17</v>
      </c>
      <c r="AC6" s="7">
        <f>C31</f>
        <v>10.306999999999999</v>
      </c>
      <c r="AD6" s="20">
        <f t="shared" si="2"/>
        <v>6.1939999999999982</v>
      </c>
      <c r="AE6" s="22">
        <f t="shared" ref="AE6:AE8" si="6">AC6/$AC$4</f>
        <v>2.505956722586919</v>
      </c>
      <c r="AF6" s="1"/>
      <c r="AG6" s="1"/>
      <c r="AH6" s="18" t="s">
        <v>17</v>
      </c>
      <c r="AI6" s="7">
        <f>C32</f>
        <v>5.636685298196948</v>
      </c>
      <c r="AJ6" s="20">
        <f t="shared" si="3"/>
        <v>3.837685298196948</v>
      </c>
      <c r="AK6" s="22">
        <f t="shared" ref="AK6:AK8" si="7">AI6/$AI$4</f>
        <v>3.1332325170633397</v>
      </c>
      <c r="AL6" s="1"/>
      <c r="AM6" s="1"/>
      <c r="AN6" s="18" t="s">
        <v>17</v>
      </c>
      <c r="AO6" s="7">
        <f>C34</f>
        <v>5.3707904299583902</v>
      </c>
      <c r="AP6" s="20">
        <f t="shared" si="4"/>
        <v>3.3777904299583899</v>
      </c>
      <c r="AQ6" s="22">
        <f t="shared" ref="AQ6:AQ8" si="8">AO6/$AO$4</f>
        <v>2.6948271098637178</v>
      </c>
      <c r="AR6" s="1"/>
      <c r="AS6" s="1"/>
      <c r="AT6" s="18" t="s">
        <v>17</v>
      </c>
      <c r="AU6" s="7">
        <f>C35</f>
        <v>5.3350518723994442</v>
      </c>
      <c r="AV6" s="20">
        <f>AU6-$U$4</f>
        <v>3.406051872399444</v>
      </c>
      <c r="AW6" s="22">
        <f t="shared" ref="AW6:AW8" si="9">AU6/$U$4</f>
        <v>2.7657085911868555</v>
      </c>
      <c r="AX6" s="1"/>
      <c r="AY6" s="1"/>
      <c r="AZ6" s="113" t="s">
        <v>83</v>
      </c>
      <c r="BA6" s="114" t="s">
        <v>55</v>
      </c>
      <c r="BB6" s="115" t="s">
        <v>59</v>
      </c>
      <c r="BC6" s="1"/>
      <c r="BD6" s="1"/>
      <c r="BE6" s="1"/>
      <c r="BF6" s="1"/>
      <c r="BG6" s="1"/>
      <c r="BH6" s="1"/>
      <c r="BI6" s="1"/>
      <c r="BJ6" s="1"/>
      <c r="BK6" s="1"/>
      <c r="BL6" s="1"/>
      <c r="BM6" s="1"/>
      <c r="BN6" s="1"/>
      <c r="BO6" s="1"/>
      <c r="BP6" s="1"/>
      <c r="BQ6" s="1"/>
      <c r="BR6" s="1"/>
      <c r="BS6" s="1"/>
    </row>
    <row r="7" spans="1:71" ht="15" customHeight="1" x14ac:dyDescent="0.25">
      <c r="A7" s="1"/>
      <c r="B7" s="16">
        <v>75</v>
      </c>
      <c r="C7" s="7">
        <v>3.7130000000000001</v>
      </c>
      <c r="D7" s="6">
        <v>4.3999999999999997E-2</v>
      </c>
      <c r="E7" s="21">
        <f t="shared" si="0"/>
        <v>1.1850255857796929E-2</v>
      </c>
      <c r="F7" s="8"/>
      <c r="G7" s="8"/>
      <c r="H7" s="8"/>
      <c r="I7" s="8"/>
      <c r="J7" s="8"/>
      <c r="K7" s="17">
        <v>75</v>
      </c>
      <c r="L7" s="7">
        <v>1.304</v>
      </c>
      <c r="M7" s="9">
        <v>0.20899999999999999</v>
      </c>
      <c r="N7" s="21">
        <f t="shared" si="1"/>
        <v>0.16027607361963189</v>
      </c>
      <c r="O7" s="1"/>
      <c r="P7" s="1"/>
      <c r="Q7" s="1"/>
      <c r="R7" s="1"/>
      <c r="S7" s="1"/>
      <c r="T7" s="18" t="s">
        <v>24</v>
      </c>
      <c r="U7" s="7">
        <f>L17</f>
        <v>5.1950036662011181</v>
      </c>
      <c r="V7" s="20">
        <f>U7-$U$4</f>
        <v>3.2660036662011178</v>
      </c>
      <c r="W7" s="22">
        <f t="shared" si="5"/>
        <v>2.6931071364443326</v>
      </c>
      <c r="X7" s="475"/>
      <c r="Y7" s="1"/>
      <c r="Z7" s="1"/>
      <c r="AA7" s="1"/>
      <c r="AB7" s="18" t="s">
        <v>24</v>
      </c>
      <c r="AC7" s="7">
        <f>L15</f>
        <v>13.483000000000001</v>
      </c>
      <c r="AD7" s="20">
        <f t="shared" si="2"/>
        <v>9.370000000000001</v>
      </c>
      <c r="AE7" s="22">
        <f t="shared" si="6"/>
        <v>3.2781424750790173</v>
      </c>
      <c r="AF7" s="1"/>
      <c r="AG7" s="1"/>
      <c r="AH7" s="18" t="s">
        <v>24</v>
      </c>
      <c r="AI7" s="7">
        <f>L16</f>
        <v>6.2636632332402247</v>
      </c>
      <c r="AJ7" s="20">
        <f t="shared" si="3"/>
        <v>4.4646632332402252</v>
      </c>
      <c r="AK7" s="22">
        <f t="shared" si="7"/>
        <v>3.4817472113619927</v>
      </c>
      <c r="AL7" s="1"/>
      <c r="AM7" s="1"/>
      <c r="AN7" s="18" t="s">
        <v>24</v>
      </c>
      <c r="AO7" s="7">
        <f>L18</f>
        <v>4.8207374301675987</v>
      </c>
      <c r="AP7" s="20">
        <f t="shared" si="4"/>
        <v>2.8277374301675984</v>
      </c>
      <c r="AQ7" s="22">
        <f t="shared" si="8"/>
        <v>2.4188346363108875</v>
      </c>
      <c r="AR7" s="1"/>
      <c r="AS7" s="1"/>
      <c r="AT7" s="18" t="s">
        <v>24</v>
      </c>
      <c r="AU7" s="7">
        <f>L19</f>
        <v>4.6606738826815652</v>
      </c>
      <c r="AV7" s="20">
        <f>AU7-$U$4</f>
        <v>2.731673882681565</v>
      </c>
      <c r="AW7" s="22">
        <f t="shared" si="9"/>
        <v>2.4161088038784682</v>
      </c>
      <c r="AX7" s="1"/>
      <c r="AY7" s="1"/>
      <c r="AZ7" s="116" t="s">
        <v>53</v>
      </c>
      <c r="BA7" s="117" t="s">
        <v>55</v>
      </c>
      <c r="BB7" s="118" t="s">
        <v>82</v>
      </c>
      <c r="BC7" s="1"/>
      <c r="BD7" s="1"/>
      <c r="BE7" s="1"/>
      <c r="BF7" s="1"/>
      <c r="BG7" s="1"/>
      <c r="BH7" s="1"/>
      <c r="BI7" s="1"/>
      <c r="BJ7" s="1"/>
      <c r="BK7" s="1"/>
      <c r="BL7" s="1"/>
      <c r="BM7" s="1"/>
      <c r="BN7" s="1"/>
      <c r="BO7" s="1"/>
      <c r="BP7" s="1"/>
      <c r="BQ7" s="1"/>
      <c r="BR7" s="1"/>
      <c r="BS7" s="1"/>
    </row>
    <row r="8" spans="1:71" x14ac:dyDescent="0.25">
      <c r="A8" s="1"/>
      <c r="B8" s="16">
        <v>100</v>
      </c>
      <c r="C8" s="7">
        <v>3.6880000000000002</v>
      </c>
      <c r="D8" s="6">
        <v>5.2999999999999999E-2</v>
      </c>
      <c r="E8" s="21">
        <f t="shared" si="0"/>
        <v>1.4370932754880694E-2</v>
      </c>
      <c r="F8" s="8"/>
      <c r="G8" s="8"/>
      <c r="H8" s="8"/>
      <c r="I8" s="8"/>
      <c r="J8" s="8"/>
      <c r="K8" s="17">
        <v>100</v>
      </c>
      <c r="L8" s="7">
        <v>1.276</v>
      </c>
      <c r="M8" s="9">
        <v>9.1999999999999998E-2</v>
      </c>
      <c r="N8" s="21">
        <f t="shared" si="1"/>
        <v>7.2100313479623826E-2</v>
      </c>
      <c r="O8" s="1"/>
      <c r="P8" s="1"/>
      <c r="Q8" s="1"/>
      <c r="R8" s="1"/>
      <c r="S8" s="1"/>
      <c r="T8" s="18" t="s">
        <v>20</v>
      </c>
      <c r="U8" s="7">
        <f>L25</f>
        <v>9.3144786340829437</v>
      </c>
      <c r="V8" s="20">
        <f>U8-$U$4</f>
        <v>7.3854786340829435</v>
      </c>
      <c r="W8" s="22">
        <f t="shared" si="5"/>
        <v>4.8286566273110125</v>
      </c>
      <c r="X8" s="475"/>
      <c r="Y8" s="1"/>
      <c r="Z8" s="1"/>
      <c r="AA8" s="1"/>
      <c r="AB8" s="18" t="s">
        <v>20</v>
      </c>
      <c r="AC8" s="7">
        <f>L23</f>
        <v>20.791919999999998</v>
      </c>
      <c r="AD8" s="20">
        <f t="shared" si="2"/>
        <v>16.678919999999998</v>
      </c>
      <c r="AE8" s="22">
        <f t="shared" si="6"/>
        <v>5.0551714077315815</v>
      </c>
      <c r="AF8" s="1"/>
      <c r="AG8" s="1"/>
      <c r="AH8" s="18" t="s">
        <v>20</v>
      </c>
      <c r="AI8" s="7">
        <f>L24</f>
        <v>10.445232363538288</v>
      </c>
      <c r="AJ8" s="20">
        <f t="shared" si="3"/>
        <v>8.6462323635382887</v>
      </c>
      <c r="AK8" s="22">
        <f t="shared" si="7"/>
        <v>5.8061324977978259</v>
      </c>
      <c r="AL8" s="1"/>
      <c r="AM8" s="1"/>
      <c r="AN8" s="18" t="s">
        <v>20</v>
      </c>
      <c r="AO8" s="7">
        <f>L26</f>
        <v>8.9150216520517649</v>
      </c>
      <c r="AP8" s="20">
        <f t="shared" si="4"/>
        <v>6.9220216520517646</v>
      </c>
      <c r="AQ8" s="22">
        <f t="shared" si="8"/>
        <v>4.4731669102116225</v>
      </c>
      <c r="AR8" s="1"/>
      <c r="AS8" s="1"/>
      <c r="AT8" s="18" t="s">
        <v>20</v>
      </c>
      <c r="AU8" s="7">
        <f>L27</f>
        <v>8.7357541262847747</v>
      </c>
      <c r="AV8" s="20">
        <f>AU8-$U$4</f>
        <v>6.8067541262847744</v>
      </c>
      <c r="AW8" s="22">
        <f t="shared" si="9"/>
        <v>4.52864392238713</v>
      </c>
      <c r="AX8" s="1"/>
      <c r="AY8" s="1"/>
      <c r="AZ8" s="116" t="s">
        <v>75</v>
      </c>
      <c r="BA8" s="117" t="s">
        <v>55</v>
      </c>
      <c r="BB8" s="118" t="s">
        <v>82</v>
      </c>
      <c r="BC8" s="1"/>
      <c r="BD8" s="1"/>
      <c r="BE8" s="1"/>
      <c r="BF8" s="1"/>
      <c r="BG8" s="1"/>
      <c r="BH8" s="1"/>
      <c r="BI8" s="1"/>
      <c r="BJ8" s="1"/>
      <c r="BK8" s="1"/>
      <c r="BL8" s="1"/>
      <c r="BM8" s="1"/>
      <c r="BN8" s="1"/>
      <c r="BO8" s="1"/>
      <c r="BP8" s="1"/>
      <c r="BQ8" s="1"/>
      <c r="BR8" s="1"/>
      <c r="BS8" s="1"/>
    </row>
    <row r="9" spans="1:71" x14ac:dyDescent="0.25">
      <c r="A9" s="1"/>
      <c r="B9" s="51"/>
      <c r="C9" s="12"/>
      <c r="D9" s="52"/>
      <c r="E9" s="53"/>
      <c r="F9" s="8"/>
      <c r="G9" s="8"/>
      <c r="H9" s="8"/>
      <c r="I9" s="8"/>
      <c r="J9" s="8"/>
      <c r="K9" s="54"/>
      <c r="L9" s="12"/>
      <c r="M9" s="55"/>
      <c r="N9" s="53"/>
      <c r="O9" s="1"/>
      <c r="P9" s="1"/>
      <c r="Q9" s="1"/>
      <c r="R9" s="1"/>
      <c r="S9" s="1"/>
      <c r="T9" s="56"/>
      <c r="U9" s="12"/>
      <c r="V9" s="57"/>
      <c r="W9" s="58"/>
      <c r="X9" s="1"/>
      <c r="Y9" s="1"/>
      <c r="Z9" s="1"/>
      <c r="AA9" s="1"/>
      <c r="AB9" s="56"/>
      <c r="AC9" s="12"/>
      <c r="AD9" s="57"/>
      <c r="AE9" s="58"/>
      <c r="AF9" s="1"/>
      <c r="AG9" s="1"/>
      <c r="AH9" s="56"/>
      <c r="AI9" s="12"/>
      <c r="AJ9" s="57"/>
      <c r="AK9" s="58"/>
      <c r="AL9" s="1"/>
      <c r="AM9" s="1"/>
      <c r="AN9" s="56"/>
      <c r="AO9" s="12"/>
      <c r="AP9" s="57"/>
      <c r="AQ9" s="58"/>
      <c r="AR9" s="1"/>
      <c r="AS9" s="1"/>
      <c r="AT9" s="56"/>
      <c r="AU9" s="12"/>
      <c r="AV9" s="57"/>
      <c r="AW9" s="58"/>
      <c r="AX9" s="1"/>
      <c r="AY9" s="1"/>
      <c r="AZ9" s="119" t="s">
        <v>84</v>
      </c>
      <c r="BA9" s="120" t="s">
        <v>55</v>
      </c>
      <c r="BB9" s="121" t="s">
        <v>82</v>
      </c>
      <c r="BC9" s="1"/>
      <c r="BD9" s="1"/>
      <c r="BE9" s="1"/>
      <c r="BF9" s="1"/>
      <c r="BG9" s="1"/>
      <c r="BH9" s="1"/>
      <c r="BI9" s="1"/>
      <c r="BJ9" s="1"/>
      <c r="BK9" s="1"/>
      <c r="BL9" s="1"/>
      <c r="BM9" s="1"/>
      <c r="BN9" s="1"/>
      <c r="BO9" s="1"/>
      <c r="BP9" s="1"/>
      <c r="BQ9" s="1"/>
      <c r="BR9" s="1"/>
      <c r="BS9" s="1"/>
    </row>
    <row r="10" spans="1:71" x14ac:dyDescent="0.25">
      <c r="A10" s="1"/>
      <c r="B10" s="51"/>
      <c r="C10" s="12"/>
      <c r="D10" s="52"/>
      <c r="E10" s="53"/>
      <c r="F10" s="8"/>
      <c r="G10" s="8"/>
      <c r="H10" s="8"/>
      <c r="I10" s="8"/>
      <c r="J10" s="8"/>
      <c r="K10" s="54"/>
      <c r="L10" s="12"/>
      <c r="M10" s="55"/>
      <c r="N10" s="53"/>
      <c r="O10" s="1"/>
      <c r="P10" s="1"/>
      <c r="Q10" s="1"/>
      <c r="R10" s="1"/>
      <c r="S10" s="1"/>
      <c r="T10" s="56"/>
      <c r="U10" s="12"/>
      <c r="V10" s="57"/>
      <c r="W10" s="58"/>
      <c r="X10" s="1"/>
      <c r="Y10" s="1"/>
      <c r="Z10" s="1"/>
      <c r="AA10" s="1"/>
      <c r="AB10" s="56"/>
      <c r="AC10" s="12"/>
      <c r="AD10" s="57"/>
      <c r="AE10" s="58"/>
      <c r="AF10" s="1"/>
      <c r="AG10" s="1"/>
      <c r="AH10" s="56"/>
      <c r="AI10" s="12"/>
      <c r="AJ10" s="57"/>
      <c r="AK10" s="58"/>
      <c r="AL10" s="1"/>
      <c r="AM10" s="1"/>
      <c r="AN10" s="56"/>
      <c r="AO10" s="12"/>
      <c r="AP10" s="57"/>
      <c r="AQ10" s="58"/>
      <c r="AR10" s="1"/>
      <c r="AS10" s="1"/>
      <c r="AT10" s="56"/>
      <c r="AU10" s="12"/>
      <c r="AV10" s="57"/>
      <c r="AW10" s="58"/>
      <c r="AX10" s="1"/>
      <c r="AY10" s="1"/>
      <c r="AZ10" s="119" t="s">
        <v>85</v>
      </c>
      <c r="BA10" s="120" t="s">
        <v>55</v>
      </c>
      <c r="BB10" s="121" t="s">
        <v>59</v>
      </c>
      <c r="BC10" s="1"/>
      <c r="BD10" s="1"/>
      <c r="BE10" s="1"/>
      <c r="BF10" s="1"/>
      <c r="BG10" s="1"/>
      <c r="BH10" s="1"/>
      <c r="BI10" s="1"/>
      <c r="BJ10" s="1"/>
      <c r="BK10" s="1"/>
      <c r="BL10" s="1"/>
      <c r="BM10" s="1"/>
      <c r="BN10" s="1"/>
      <c r="BO10" s="1"/>
      <c r="BP10" s="1"/>
      <c r="BQ10" s="1"/>
      <c r="BR10" s="1"/>
      <c r="BS10" s="1"/>
    </row>
    <row r="11" spans="1:71" x14ac:dyDescent="0.25">
      <c r="A11" s="1"/>
      <c r="B11" s="8"/>
      <c r="C11" s="8"/>
      <c r="D11" s="8"/>
      <c r="E11" s="8"/>
      <c r="F11" s="8"/>
      <c r="G11" s="8"/>
      <c r="H11" s="8"/>
      <c r="I11" s="8"/>
      <c r="J11" s="8"/>
      <c r="K11" s="8"/>
      <c r="L11" s="8"/>
      <c r="M11" s="8"/>
      <c r="N11" s="8"/>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22" t="s">
        <v>125</v>
      </c>
      <c r="BA11" s="123" t="s">
        <v>55</v>
      </c>
      <c r="BB11" s="124" t="s">
        <v>82</v>
      </c>
      <c r="BC11" s="1"/>
      <c r="BD11" s="1"/>
      <c r="BE11" s="1"/>
      <c r="BF11" s="1"/>
      <c r="BG11" s="1"/>
      <c r="BH11" s="1"/>
      <c r="BI11" s="1"/>
      <c r="BJ11" s="1"/>
      <c r="BK11" s="1"/>
      <c r="BL11" s="1"/>
      <c r="BM11" s="1"/>
      <c r="BN11" s="1"/>
      <c r="BO11" s="1"/>
      <c r="BP11" s="1"/>
      <c r="BQ11" s="1"/>
      <c r="BR11" s="1"/>
      <c r="BS11" s="1"/>
    </row>
    <row r="12" spans="1:71" x14ac:dyDescent="0.25">
      <c r="A12" s="1"/>
      <c r="B12" s="8"/>
      <c r="C12" s="8"/>
      <c r="D12" s="8"/>
      <c r="E12" s="8"/>
      <c r="F12" s="8"/>
      <c r="G12" s="8"/>
      <c r="H12" s="8"/>
      <c r="I12" s="8"/>
      <c r="J12" s="8"/>
      <c r="K12" s="13"/>
      <c r="L12" s="13"/>
      <c r="M12" s="13"/>
      <c r="N12" s="13"/>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row>
    <row r="13" spans="1:71" x14ac:dyDescent="0.25">
      <c r="A13" s="1"/>
      <c r="B13" s="8" t="s">
        <v>5</v>
      </c>
      <c r="C13" s="8"/>
      <c r="D13" s="8"/>
      <c r="E13" s="8"/>
      <c r="F13" s="8"/>
      <c r="G13" s="8"/>
      <c r="H13" s="8"/>
      <c r="I13" s="8"/>
      <c r="J13" s="8"/>
      <c r="K13" s="8" t="s">
        <v>208</v>
      </c>
      <c r="L13" s="8"/>
      <c r="M13" s="8"/>
      <c r="N13" s="8"/>
      <c r="O13" s="1"/>
      <c r="P13" s="1"/>
      <c r="Q13" s="1"/>
      <c r="R13" s="1"/>
      <c r="S13" s="1"/>
      <c r="T13" s="19" t="s">
        <v>29</v>
      </c>
      <c r="U13" s="19" t="s">
        <v>8</v>
      </c>
      <c r="V13" s="19" t="s">
        <v>12</v>
      </c>
      <c r="W13" s="19" t="s">
        <v>13</v>
      </c>
      <c r="X13" s="1"/>
      <c r="Y13" s="1"/>
      <c r="Z13" s="1"/>
      <c r="AA13" s="1"/>
      <c r="AB13" s="19" t="s">
        <v>31</v>
      </c>
      <c r="AC13" s="19" t="s">
        <v>8</v>
      </c>
      <c r="AD13" s="19" t="s">
        <v>12</v>
      </c>
      <c r="AE13" s="19" t="s">
        <v>13</v>
      </c>
      <c r="AF13" s="1"/>
      <c r="AG13" s="1"/>
      <c r="AH13" s="19" t="s">
        <v>43</v>
      </c>
      <c r="AI13" s="19" t="s">
        <v>8</v>
      </c>
      <c r="AJ13" s="19" t="s">
        <v>12</v>
      </c>
      <c r="AK13" s="19" t="s">
        <v>13</v>
      </c>
      <c r="AL13" s="1"/>
      <c r="AM13" s="1"/>
      <c r="AN13" s="19" t="s">
        <v>45</v>
      </c>
      <c r="AO13" s="19" t="s">
        <v>8</v>
      </c>
      <c r="AP13" s="19" t="s">
        <v>12</v>
      </c>
      <c r="AQ13" s="19" t="s">
        <v>13</v>
      </c>
      <c r="AR13" s="1"/>
      <c r="AS13" s="1"/>
      <c r="AT13" s="19" t="s">
        <v>47</v>
      </c>
      <c r="AU13" s="19" t="s">
        <v>8</v>
      </c>
      <c r="AV13" s="19" t="s">
        <v>12</v>
      </c>
      <c r="AW13" s="19" t="s">
        <v>13</v>
      </c>
      <c r="AX13" s="1"/>
      <c r="AY13" s="1"/>
      <c r="AZ13" s="1"/>
      <c r="BA13" s="125" t="s">
        <v>86</v>
      </c>
      <c r="BB13" s="126">
        <f>IF(AND(BB4=100,BB5=0,BB6="No",BB7="No",BB8="No"),AU4,IF(AND(BB4=100,BB5=3.68,BB6="No",BB7="No",BB8="No"),AU5,IF(AND(BB4=100,BB5=7.36,BB6="No",BB7="No",BB8="No"),AU6,IF(AND(BB4=100,BB5=0,BB6="Yes",BB7="No",BB8="No"),AU7,IF(AND(BB4=100,BB5=7.36,BB6="Yes",BB7="No",BB8="No"),AU8,IF(AND(BB4=100,BB5=0,BB6="No",BB7="Yes",BB8="No"),AU15,IF(AND(BB4=100,BB5=3.68,BB6="No",BB7="Yes",BB8="No"),AU16,IF(AND(BB4=100,BB5=7.36,BB6="No",BB7="Yes",BB8="No"),AU17,IF(AND(BB4=100,BB5=0,BB6="Yes",BB7="Yes",BB8="No"),AU18,IF(AND(BB4=100,BB5=7.36,BB6="Yes",BB7="Yes",BB8="No"),AU19,IF(AND(BB4=100,BB5=0,BB6="No",BB7="Yes",BB8="Yes"),AU23,IF(AND(BB4=100,BB5=3.68,BB6="No",BB7="Yes",BB8="Yes"),AU24,IF(AND(BB4=100,BB5=7.36,BB6="No",BB7="Yes",BB8="Yes"),AU25,IF(AND(BB4=100,BB5=0,BB6="Yes",BB7="Yes",BB8="Yes"),AU26,IF(AND(BB4=100,BB5=7.36,BB6="Yes",BB7="Yes",BB8="Yes"),AU27,IF(AND(BB4=1,BB5=0,BB6="No",BB7="No",BB8="No"),AC4,IF(AND(BB4=1,BB5=3.68,BB6="No",BB7="No",BB8="No"),AC5,IF(AND(BB4=1,BB5=7.36,BB6="No",BB7="No",BB8="No"),AC6,IF(AND(BB4=1,BB5=0,BB6="Yes",BB7="No",BB8="No"),AC7,IF(AND(BB4=1,BB5=7.36,BB6="Yes",BB7="No",BB8="No"),AC8,IF(AND(BB4=1,BB5=0,BB6="No",BB7="Yes",BB8="No"),AC15,IF(AND(BB4=1,BB5=3.68,BB6="No",BB7="Yes",BB8="No"),AC16,IF(AND(BB4=1,BB5=7.36,BB6="No",BB7="Yes",BB8="No"),AC17,IF(AND(BB4=1,BB5=0,BB6="Yes",BB7="Yes",BB8="No"),AC18,IF(AND(BB4=1,BB5=7.36,BB6="Yes",BB7="Yes",BB8="No"),AC19,IF(AND(BB4=1,BB5=0,BB6="No",BB7="Yes",BB8="Yes"),AC23,IF(AND(BB4=1,BB5=3.68,BB6="No",BB7="Yes",BB8="Yes"),AC24,IF(AND(BB4=1,BB5=7.36,BB6="No",BB7="Yes",BB8="Yes"),AC25,IF(AND(BB4=1,BB5=0,BB6="Yes",BB7="Yes",BB8="Yes"),AC26,IF(AND(BB4=1,BB5=7.36,BB6="Yes",BB7="Yes",BB8="Yes"),AC27,IF(AND(BB4=25,BB5=0,BB6="No",BB7="No",BB8="No"),AI4,IF(AND(BB4=25,BB5=3.68,BB6="No",BB7="No",BB8="No"),AI5,IF(AND(BB4=25,BB5=7.36,BB6="No",BB7="No",BB8="No"),AI6,IF(AND(BB4=25,BB5=0,BB6="Yes",BB7="No",BB8="No"),AI7,IF(AND(BB4=25,BB5=7.36,BB6="Yes",BB7="No",BB8="No"),AI8,IF(AND(BB4=25,BB5=0,BB6="No",BB7="Yes",BB8="No"),AI15,IF(AND(BB4=25,BB5=3.68,BB6="No",BB7="Yes",BB8="No"),AI16,IF(AND(BB4=25,BB5=7.36,BB6="No",BB7="Yes",BB8="No"),AI17,IF(AND(BB4=25,BB5=0,BB6="Yes",BB7="Yes",BB8="No"),AI18,IF(AND(BB4=25,BB5=7.36,BB6="Yes",BB7="Yes",BB8="No"),AI19,IF(AND(BB4=25,BB5=0,BB6="No",BB7="Yes",BB8="Yes"),AI23,IF(AND(BB4=25,BB5=3.68,BB6="No",BB7="Yes",BB8="Yes"),AI24,IF(AND(BB4=25,BB5=7.36,BB6="No",BB7="Yes",BB8="Yes"),AI25,IF(AND(BB4=25,BB5=0,BB6="Yes",BB7="Yes",BB8="Yes"),AI26,IF(AND(BB4=25,BB5=7.36,BB6="Yes",BB7="Yes",BB8="Yes"),AI27,IF(AND(BB4=50,BB5=0,BB6="No",BB7="No",BB8="No"),U4,IF(AND(BB4=50,BB5=3.68,BB6="No",BB7="No",BB8="No"),U5,IF(AND(BB4=50,BB5=7.36,BB6="No",BB7="No",BB8="No"),U6,IF(AND(BB4=50,BB5=0,BB6="Yes",BB7="No",BB8="No"),U7,IF(AND(BB4=50,BB5=7.36,BB6="Yes",BB7="No",BB8="No"),U8,IF(AND(BB4=50,BB5=0,BB6="No",BB7="Yes",BB8="No"),U15,IF(AND(BB4=50,BB5=3.68,BB6="No",BB7="Yes",BB8="No"),U16,IF(AND(BB4=50,BB5=7.36,BB6="No",BB7="Yes",BB8="No"),U17,IF(AND(BB4=50,BB5=0,BB6="Yes",BB7="Yes",BB8="No"),U18,IF(AND(BB4=50,BB5=7.36,BB6="Yes",BB7="Yes",BB8="No"),U19,IF(AND(BB4=50,BB5=0,BB6="No",BB7="Yes",BB8="Yes"),U23,IF(AND(BB4=50,BB5=3.68,BB6="No",BB7="Yes",BB8="Yes"),U24,IF(AND(BB4=50,BB5=7.36,BB6="No",BB7="Yes",BB8="Yes"),U25,IF(AND(BB4=50,BB5=0,BB6="Yes",BB7="Yes",BB8="Yes"),U26,IF(AND(BB4=50,BB5=7.36,BB6="Yes",BB7="Yes",BB8="Yes"),U27,"N/A"))))))))))))))))))))))))))))))))))))))))))))))))))))))))))))</f>
        <v>6.2636632332402247</v>
      </c>
      <c r="BC13" s="1"/>
      <c r="BD13" s="1"/>
      <c r="BE13" s="1"/>
      <c r="BF13" s="1"/>
      <c r="BG13" s="1"/>
      <c r="BH13" s="1"/>
      <c r="BI13" s="1"/>
      <c r="BJ13" s="1"/>
      <c r="BK13" s="1"/>
      <c r="BL13" s="1"/>
      <c r="BM13" s="1"/>
      <c r="BN13" s="1"/>
      <c r="BO13" s="1"/>
      <c r="BP13" s="1"/>
      <c r="BQ13" s="1"/>
      <c r="BR13" s="1"/>
      <c r="BS13" s="1"/>
    </row>
    <row r="14" spans="1:71" x14ac:dyDescent="0.25">
      <c r="A14" s="1"/>
      <c r="B14" s="11" t="s">
        <v>0</v>
      </c>
      <c r="C14" s="11" t="s">
        <v>1</v>
      </c>
      <c r="D14" s="11" t="s">
        <v>2</v>
      </c>
      <c r="E14" s="11" t="s">
        <v>3</v>
      </c>
      <c r="F14" s="8"/>
      <c r="G14" s="8"/>
      <c r="H14" s="8"/>
      <c r="I14" s="8"/>
      <c r="J14" s="8"/>
      <c r="K14" s="15" t="s">
        <v>0</v>
      </c>
      <c r="L14" s="15" t="s">
        <v>1</v>
      </c>
      <c r="M14" s="15" t="s">
        <v>2</v>
      </c>
      <c r="N14" s="15" t="s">
        <v>3</v>
      </c>
      <c r="O14" s="1"/>
      <c r="P14" s="1"/>
      <c r="Q14" s="1"/>
      <c r="R14" s="1"/>
      <c r="S14" s="1"/>
      <c r="T14" s="18" t="s">
        <v>21</v>
      </c>
      <c r="U14" s="7">
        <v>1.93</v>
      </c>
      <c r="V14" s="20">
        <f>U14-$U$14</f>
        <v>0</v>
      </c>
      <c r="W14" s="22">
        <v>0</v>
      </c>
      <c r="X14" s="1"/>
      <c r="Y14" s="1"/>
      <c r="Z14" s="1"/>
      <c r="AA14" s="1"/>
      <c r="AB14" s="18" t="s">
        <v>21</v>
      </c>
      <c r="AC14" s="7">
        <v>4.1100000000000003</v>
      </c>
      <c r="AD14" s="20">
        <f>AC14-$AC$14</f>
        <v>0</v>
      </c>
      <c r="AE14" s="22">
        <v>0</v>
      </c>
      <c r="AF14" s="1"/>
      <c r="AG14" s="1"/>
      <c r="AH14" s="18" t="s">
        <v>21</v>
      </c>
      <c r="AI14" s="7">
        <v>1.8</v>
      </c>
      <c r="AJ14" s="20">
        <f>AI14-$AI$14</f>
        <v>0</v>
      </c>
      <c r="AK14" s="22">
        <v>0</v>
      </c>
      <c r="AL14" s="1"/>
      <c r="AM14" s="1"/>
      <c r="AN14" s="18" t="s">
        <v>21</v>
      </c>
      <c r="AO14" s="7">
        <v>1.99</v>
      </c>
      <c r="AP14" s="20">
        <f>AO14-$AO$14</f>
        <v>0</v>
      </c>
      <c r="AQ14" s="22">
        <v>0</v>
      </c>
      <c r="AR14" s="1"/>
      <c r="AS14" s="1"/>
      <c r="AT14" s="18" t="s">
        <v>21</v>
      </c>
      <c r="AU14" s="7">
        <v>2.0699999999999998</v>
      </c>
      <c r="AV14" s="20">
        <f>AU14-$AU$14</f>
        <v>0</v>
      </c>
      <c r="AW14" s="22">
        <v>0</v>
      </c>
      <c r="AX14" s="1"/>
      <c r="AY14" s="1"/>
      <c r="AZ14" s="1"/>
      <c r="BA14" s="1"/>
      <c r="BB14" s="1"/>
      <c r="BC14" s="1"/>
      <c r="BD14" s="1"/>
      <c r="BE14" s="1"/>
      <c r="BF14" s="1"/>
      <c r="BG14" s="1"/>
      <c r="BH14" s="1"/>
      <c r="BI14" s="1"/>
      <c r="BJ14" s="1"/>
      <c r="BK14" s="1"/>
      <c r="BL14" s="1"/>
      <c r="BM14" s="1"/>
      <c r="BN14" s="1"/>
      <c r="BO14" s="1"/>
      <c r="BP14" s="1"/>
      <c r="BQ14" s="1"/>
      <c r="BR14" s="1"/>
      <c r="BS14" s="1"/>
    </row>
    <row r="15" spans="1:71" x14ac:dyDescent="0.25">
      <c r="A15" s="1"/>
      <c r="B15" s="16">
        <v>1</v>
      </c>
      <c r="C15" s="7">
        <v>4.1130000000000004</v>
      </c>
      <c r="D15" s="6">
        <v>0.76900000000000002</v>
      </c>
      <c r="E15" s="21">
        <f>D15/C15</f>
        <v>0.18696814976902504</v>
      </c>
      <c r="F15" s="8"/>
      <c r="G15" s="8"/>
      <c r="H15" s="8"/>
      <c r="I15" s="8"/>
      <c r="J15" s="8"/>
      <c r="K15" s="17">
        <v>1</v>
      </c>
      <c r="L15" s="7">
        <f>C15+9.37</f>
        <v>13.483000000000001</v>
      </c>
      <c r="M15" s="9">
        <v>1.98</v>
      </c>
      <c r="N15" s="21">
        <f>M15/L15</f>
        <v>0.14685159089223465</v>
      </c>
      <c r="O15" s="1"/>
      <c r="P15" s="7">
        <v>5.7279999999999998</v>
      </c>
      <c r="Q15" s="1"/>
      <c r="R15" s="1"/>
      <c r="S15" s="1"/>
      <c r="T15" s="18" t="s">
        <v>33</v>
      </c>
      <c r="U15" s="7">
        <f>U4*0.61</f>
        <v>1.17669</v>
      </c>
      <c r="V15" s="20">
        <f>U15-$U$14</f>
        <v>-0.75330999999999992</v>
      </c>
      <c r="W15" s="22">
        <f>U15/$U$14</f>
        <v>0.60968393782383423</v>
      </c>
      <c r="X15" s="1"/>
      <c r="Y15" s="1"/>
      <c r="Z15" s="1"/>
      <c r="AA15" s="1"/>
      <c r="AB15" s="18" t="s">
        <v>39</v>
      </c>
      <c r="AC15" s="7">
        <f>AC4*0.61</f>
        <v>2.5089300000000003</v>
      </c>
      <c r="AD15" s="20">
        <f t="shared" ref="AD15:AD19" si="10">AC15-$AC$14</f>
        <v>-1.60107</v>
      </c>
      <c r="AE15" s="22">
        <f>AC15/$AC$14</f>
        <v>0.61044525547445261</v>
      </c>
      <c r="AF15" s="1"/>
      <c r="AG15" s="1"/>
      <c r="AH15" s="18" t="s">
        <v>39</v>
      </c>
      <c r="AI15" s="7">
        <f>AI4*0.61</f>
        <v>1.0973899999999999</v>
      </c>
      <c r="AJ15" s="20">
        <f t="shared" ref="AJ15:AJ19" si="11">AI15-$AI$14</f>
        <v>-0.70261000000000018</v>
      </c>
      <c r="AK15" s="22">
        <f>AI15/$AI$14</f>
        <v>0.60966111111111099</v>
      </c>
      <c r="AL15" s="1"/>
      <c r="AM15" s="1"/>
      <c r="AN15" s="18" t="s">
        <v>39</v>
      </c>
      <c r="AO15" s="7">
        <f>AO4*0.61</f>
        <v>1.21573</v>
      </c>
      <c r="AP15" s="20">
        <f>AO15-$AO$14</f>
        <v>-0.77427000000000001</v>
      </c>
      <c r="AQ15" s="22">
        <f>AO15/$AO$14</f>
        <v>0.61091959798994977</v>
      </c>
      <c r="AR15" s="1"/>
      <c r="AS15" s="1"/>
      <c r="AT15" s="18" t="s">
        <v>39</v>
      </c>
      <c r="AU15" s="7">
        <f>AU4*0.61</f>
        <v>1.2602599999999999</v>
      </c>
      <c r="AV15" s="20">
        <f t="shared" ref="AV15:AV19" si="12">AU15-$AU$14</f>
        <v>-0.8097399999999999</v>
      </c>
      <c r="AW15" s="22">
        <f>AU15/$AU$14</f>
        <v>0.60882125603864734</v>
      </c>
      <c r="AX15" s="1"/>
      <c r="AY15" s="1"/>
      <c r="BA15" s="125" t="s">
        <v>87</v>
      </c>
      <c r="BB15" s="127">
        <f>BB13+ IF(AND(BB10="Yes",BB6="Yes"),(3.68*0.8),0)+ IF(BB9="Yes",(3.68*0.5),0)</f>
        <v>9.2076632332402255</v>
      </c>
      <c r="BC15" s="1"/>
      <c r="BD15" s="1"/>
      <c r="BE15" s="1"/>
      <c r="BF15" s="1"/>
      <c r="BG15" s="1"/>
      <c r="BH15" s="1"/>
      <c r="BI15" s="1"/>
      <c r="BJ15" s="1"/>
      <c r="BK15" s="1"/>
      <c r="BL15" s="1"/>
      <c r="BM15" s="1"/>
      <c r="BN15" s="1"/>
      <c r="BO15" s="1"/>
      <c r="BP15" s="1"/>
      <c r="BQ15" s="1"/>
      <c r="BR15" s="1"/>
      <c r="BS15" s="1"/>
    </row>
    <row r="16" spans="1:71" x14ac:dyDescent="0.25">
      <c r="A16" s="1"/>
      <c r="B16" s="16">
        <v>25</v>
      </c>
      <c r="C16" s="7">
        <v>1.7989999999999999</v>
      </c>
      <c r="D16" s="6">
        <v>0.34300000000000003</v>
      </c>
      <c r="E16" s="21">
        <f t="shared" ref="E16:E19" si="13">D16/C16</f>
        <v>0.19066147859922181</v>
      </c>
      <c r="F16" s="8"/>
      <c r="G16" s="8"/>
      <c r="H16" s="8"/>
      <c r="I16" s="8"/>
      <c r="J16" s="8"/>
      <c r="K16" s="17">
        <v>25</v>
      </c>
      <c r="L16" s="7">
        <f>L15/Q16</f>
        <v>6.2636632332402247</v>
      </c>
      <c r="M16" s="9">
        <v>0.67300000000000004</v>
      </c>
      <c r="N16" s="21">
        <f t="shared" ref="N16:N19" si="14">M16/L16</f>
        <v>0.10744511237904687</v>
      </c>
      <c r="O16" s="1"/>
      <c r="P16" s="7">
        <v>2.661</v>
      </c>
      <c r="Q16" s="1">
        <f>P15/P16</f>
        <v>2.152574220217963</v>
      </c>
      <c r="R16" s="1"/>
      <c r="S16" s="1"/>
      <c r="T16" s="18" t="s">
        <v>34</v>
      </c>
      <c r="U16" s="7">
        <f t="shared" ref="U16:U19" si="15">U5*0.61</f>
        <v>2.3192200000000001</v>
      </c>
      <c r="V16" s="20">
        <f t="shared" ref="V16:V19" si="16">U16-$U$14</f>
        <v>0.38922000000000012</v>
      </c>
      <c r="W16" s="22">
        <f>U16/$U$14</f>
        <v>1.2016683937823835</v>
      </c>
      <c r="X16" s="1"/>
      <c r="Y16" s="1"/>
      <c r="Z16" s="1"/>
      <c r="AA16" s="1"/>
      <c r="AB16" s="18" t="s">
        <v>34</v>
      </c>
      <c r="AC16" s="7">
        <f t="shared" ref="AC16:AC19" si="17">AC5*0.61</f>
        <v>4.3980999999999995</v>
      </c>
      <c r="AD16" s="20">
        <f t="shared" si="10"/>
        <v>0.28809999999999913</v>
      </c>
      <c r="AE16" s="22">
        <f>AC16/$AC$14</f>
        <v>1.070097323600973</v>
      </c>
      <c r="AF16" s="1"/>
      <c r="AG16" s="1"/>
      <c r="AH16" s="18" t="s">
        <v>34</v>
      </c>
      <c r="AI16" s="7">
        <f t="shared" ref="AI16:AI19" si="18">AI5*0.61</f>
        <v>2.40523</v>
      </c>
      <c r="AJ16" s="20">
        <f t="shared" si="11"/>
        <v>0.60522999999999993</v>
      </c>
      <c r="AK16" s="22">
        <f>AI16/$AI$14</f>
        <v>1.3362388888888888</v>
      </c>
      <c r="AL16" s="1"/>
      <c r="AM16" s="1"/>
      <c r="AN16" s="18" t="s">
        <v>34</v>
      </c>
      <c r="AO16" s="7">
        <f t="shared" ref="AO16:AO19" si="19">AO5*0.61</f>
        <v>2.2917700000000001</v>
      </c>
      <c r="AP16" s="20">
        <f t="shared" ref="AP16:AP19" si="20">AO16-$AO$14</f>
        <v>0.30177000000000009</v>
      </c>
      <c r="AQ16" s="22">
        <f>AO16/$AO$14</f>
        <v>1.151643216080402</v>
      </c>
      <c r="AR16" s="1"/>
      <c r="AS16" s="1"/>
      <c r="AT16" s="18" t="s">
        <v>34</v>
      </c>
      <c r="AU16" s="7">
        <f t="shared" ref="AU16:AU19" si="21">AU5*0.61</f>
        <v>2.2765200000000001</v>
      </c>
      <c r="AV16" s="20">
        <f t="shared" si="12"/>
        <v>0.20652000000000026</v>
      </c>
      <c r="AW16" s="22">
        <f>AU16/$AU$14</f>
        <v>1.0997681159420292</v>
      </c>
      <c r="AX16" s="1"/>
      <c r="AY16" s="1"/>
      <c r="AZ16" s="1"/>
      <c r="BA16" s="1"/>
      <c r="BB16" s="1"/>
      <c r="BC16" s="1"/>
      <c r="BD16" s="1"/>
      <c r="BE16" s="1"/>
      <c r="BF16" s="1"/>
      <c r="BG16" s="1"/>
      <c r="BH16" s="1"/>
      <c r="BI16" s="1"/>
      <c r="BJ16" s="1"/>
      <c r="BK16" s="1"/>
      <c r="BL16" s="1"/>
      <c r="BM16" s="1"/>
      <c r="BN16" s="1"/>
      <c r="BO16" s="1"/>
      <c r="BP16" s="1"/>
      <c r="BQ16" s="1"/>
      <c r="BR16" s="1"/>
      <c r="BS16" s="1"/>
    </row>
    <row r="17" spans="1:71" x14ac:dyDescent="0.25">
      <c r="A17" s="1"/>
      <c r="B17" s="16">
        <v>50</v>
      </c>
      <c r="C17" s="7">
        <v>1.929</v>
      </c>
      <c r="D17" s="6">
        <v>0.35799999999999998</v>
      </c>
      <c r="E17" s="21">
        <f t="shared" si="13"/>
        <v>0.18558838776568168</v>
      </c>
      <c r="F17" s="8"/>
      <c r="G17" s="8"/>
      <c r="H17" s="8"/>
      <c r="I17" s="8"/>
      <c r="J17" s="8"/>
      <c r="K17" s="17">
        <v>50</v>
      </c>
      <c r="L17" s="7">
        <f t="shared" ref="L17:L19" si="22">L16/Q17</f>
        <v>5.1950036662011181</v>
      </c>
      <c r="M17" s="9">
        <v>0.38700000000000001</v>
      </c>
      <c r="N17" s="21">
        <f t="shared" si="14"/>
        <v>7.4494653876345851E-2</v>
      </c>
      <c r="O17" s="1"/>
      <c r="P17" s="7">
        <v>2.2069999999999999</v>
      </c>
      <c r="Q17" s="1">
        <f t="shared" ref="Q17:Q19" si="23">P16/P17</f>
        <v>1.2057091073855914</v>
      </c>
      <c r="R17" s="1"/>
      <c r="S17" s="1"/>
      <c r="T17" s="18" t="s">
        <v>35</v>
      </c>
      <c r="U17" s="7">
        <f t="shared" si="15"/>
        <v>3.3154230984743402</v>
      </c>
      <c r="V17" s="20">
        <f t="shared" si="16"/>
        <v>1.3854230984743403</v>
      </c>
      <c r="W17" s="22">
        <f t="shared" ref="W17:W19" si="24">U17/$U$14</f>
        <v>1.7178358023183111</v>
      </c>
      <c r="X17" s="1"/>
      <c r="Y17" s="1"/>
      <c r="Z17" s="1"/>
      <c r="AA17" s="1"/>
      <c r="AB17" s="18" t="s">
        <v>35</v>
      </c>
      <c r="AC17" s="7">
        <f t="shared" si="17"/>
        <v>6.2872699999999986</v>
      </c>
      <c r="AD17" s="20">
        <f t="shared" si="10"/>
        <v>2.1772699999999983</v>
      </c>
      <c r="AE17" s="22">
        <f t="shared" ref="AE17:AE19" si="25">AC17/$AC$14</f>
        <v>1.5297493917274934</v>
      </c>
      <c r="AF17" s="1"/>
      <c r="AG17" s="1"/>
      <c r="AH17" s="18" t="s">
        <v>35</v>
      </c>
      <c r="AI17" s="7">
        <f t="shared" si="18"/>
        <v>3.4383780319001382</v>
      </c>
      <c r="AJ17" s="20">
        <f t="shared" si="11"/>
        <v>1.6383780319001382</v>
      </c>
      <c r="AK17" s="22">
        <f t="shared" ref="AK17:AK19" si="26">AI17/$AI$14</f>
        <v>1.9102100177222989</v>
      </c>
      <c r="AL17" s="1"/>
      <c r="AM17" s="1"/>
      <c r="AN17" s="18" t="s">
        <v>35</v>
      </c>
      <c r="AO17" s="7">
        <f t="shared" si="19"/>
        <v>3.2761821622746181</v>
      </c>
      <c r="AP17" s="20">
        <f t="shared" si="20"/>
        <v>1.2861821622746181</v>
      </c>
      <c r="AQ17" s="22">
        <f>AO17/$AO$14</f>
        <v>1.6463226946103608</v>
      </c>
      <c r="AR17" s="1"/>
      <c r="AS17" s="1"/>
      <c r="AT17" s="18" t="s">
        <v>35</v>
      </c>
      <c r="AU17" s="7">
        <f t="shared" si="21"/>
        <v>3.2543816421636609</v>
      </c>
      <c r="AV17" s="20">
        <f t="shared" si="12"/>
        <v>1.184381642163661</v>
      </c>
      <c r="AW17" s="22">
        <f>AU17/$AU$14</f>
        <v>1.5721650445235078</v>
      </c>
      <c r="AX17" s="1"/>
      <c r="AY17" s="1"/>
      <c r="AZ17" s="1"/>
      <c r="BA17" s="125" t="s">
        <v>126</v>
      </c>
      <c r="BB17" s="128">
        <f>IF(AND(BB11="Yes",BB5=7.36,BB7="No",BB6= "Yes"),(BB15-3.5),BB15)</f>
        <v>9.2076632332402255</v>
      </c>
      <c r="BC17" s="1"/>
      <c r="BD17" s="1"/>
      <c r="BE17" s="1"/>
      <c r="BF17" s="1"/>
      <c r="BG17" s="1"/>
      <c r="BH17" s="1"/>
      <c r="BI17" s="1"/>
      <c r="BJ17" s="1"/>
      <c r="BK17" s="1"/>
      <c r="BL17" s="1"/>
      <c r="BM17" s="1"/>
      <c r="BN17" s="1"/>
      <c r="BO17" s="1"/>
      <c r="BP17" s="1"/>
      <c r="BQ17" s="1"/>
      <c r="BR17" s="1"/>
      <c r="BS17" s="1"/>
    </row>
    <row r="18" spans="1:71" x14ac:dyDescent="0.25">
      <c r="A18" s="1"/>
      <c r="B18" s="16">
        <v>75</v>
      </c>
      <c r="C18" s="7">
        <v>1.9930000000000001</v>
      </c>
      <c r="D18" s="6">
        <v>0.311</v>
      </c>
      <c r="E18" s="21">
        <f t="shared" si="13"/>
        <v>0.15604616156547918</v>
      </c>
      <c r="F18" s="8"/>
      <c r="G18" s="8"/>
      <c r="H18" s="8"/>
      <c r="I18" s="8"/>
      <c r="J18" s="8"/>
      <c r="K18" s="17">
        <v>75</v>
      </c>
      <c r="L18" s="7">
        <f t="shared" si="22"/>
        <v>4.8207374301675987</v>
      </c>
      <c r="M18" s="9">
        <v>0.221</v>
      </c>
      <c r="N18" s="21">
        <f t="shared" si="14"/>
        <v>4.5843608618260021E-2</v>
      </c>
      <c r="O18" s="1"/>
      <c r="P18" s="7">
        <v>2.048</v>
      </c>
      <c r="Q18" s="1">
        <f t="shared" si="23"/>
        <v>1.07763671875</v>
      </c>
      <c r="R18" s="1"/>
      <c r="S18" s="1"/>
      <c r="T18" s="18" t="s">
        <v>36</v>
      </c>
      <c r="U18" s="7">
        <f t="shared" si="15"/>
        <v>3.1689522363826819</v>
      </c>
      <c r="V18" s="20">
        <f t="shared" si="16"/>
        <v>1.2389522363826819</v>
      </c>
      <c r="W18" s="22">
        <f t="shared" si="24"/>
        <v>1.6419441639288508</v>
      </c>
      <c r="X18" s="1"/>
      <c r="Y18" s="1"/>
      <c r="Z18" s="1"/>
      <c r="AA18" s="1"/>
      <c r="AB18" s="18" t="s">
        <v>36</v>
      </c>
      <c r="AC18" s="7">
        <f t="shared" si="17"/>
        <v>8.2246299999999994</v>
      </c>
      <c r="AD18" s="20">
        <f t="shared" si="10"/>
        <v>4.1146299999999991</v>
      </c>
      <c r="AE18" s="22">
        <f t="shared" si="25"/>
        <v>2.001126520681265</v>
      </c>
      <c r="AF18" s="1"/>
      <c r="AG18" s="1"/>
      <c r="AH18" s="18" t="s">
        <v>36</v>
      </c>
      <c r="AI18" s="7">
        <f t="shared" si="18"/>
        <v>3.8208345722765369</v>
      </c>
      <c r="AJ18" s="20">
        <f t="shared" si="11"/>
        <v>2.0208345722765371</v>
      </c>
      <c r="AK18" s="22">
        <f>AI18/$AI$14</f>
        <v>2.1226858734869647</v>
      </c>
      <c r="AL18" s="1"/>
      <c r="AM18" s="1"/>
      <c r="AN18" s="18" t="s">
        <v>36</v>
      </c>
      <c r="AO18" s="7">
        <f t="shared" si="19"/>
        <v>2.9406498324022352</v>
      </c>
      <c r="AP18" s="20">
        <f t="shared" si="20"/>
        <v>0.95064983240223522</v>
      </c>
      <c r="AQ18" s="22">
        <f>AO18/$AO$14</f>
        <v>1.4777134836192136</v>
      </c>
      <c r="AR18" s="1"/>
      <c r="AS18" s="1"/>
      <c r="AT18" s="18" t="s">
        <v>36</v>
      </c>
      <c r="AU18" s="7">
        <f t="shared" si="21"/>
        <v>2.8430110684357546</v>
      </c>
      <c r="AV18" s="20">
        <f t="shared" si="12"/>
        <v>0.77301106843575473</v>
      </c>
      <c r="AW18" s="22">
        <f>AU18/$AU$14</f>
        <v>1.3734352987612342</v>
      </c>
      <c r="AX18" s="1"/>
      <c r="AY18" s="1"/>
      <c r="AZ18" s="1"/>
      <c r="BA18" s="1"/>
      <c r="BB18" s="1"/>
      <c r="BC18" s="1"/>
      <c r="BD18" s="1"/>
      <c r="BF18" s="1"/>
      <c r="BG18" s="1"/>
      <c r="BH18" s="1"/>
      <c r="BI18" s="1"/>
      <c r="BJ18" s="1"/>
      <c r="BK18" s="1"/>
      <c r="BL18" s="1"/>
      <c r="BM18" s="1"/>
      <c r="BN18" s="1"/>
      <c r="BO18" s="1"/>
      <c r="BP18" s="1"/>
      <c r="BQ18" s="1"/>
      <c r="BR18" s="1"/>
      <c r="BS18" s="1"/>
    </row>
    <row r="19" spans="1:71" x14ac:dyDescent="0.25">
      <c r="A19" s="1"/>
      <c r="B19" s="16">
        <v>100</v>
      </c>
      <c r="C19" s="7">
        <v>2.0659999999999998</v>
      </c>
      <c r="D19" s="6">
        <v>0.22900000000000001</v>
      </c>
      <c r="E19" s="21">
        <f t="shared" si="13"/>
        <v>0.11084220716360117</v>
      </c>
      <c r="F19" s="8"/>
      <c r="G19" s="8"/>
      <c r="H19" s="8"/>
      <c r="I19" s="8"/>
      <c r="J19" s="8"/>
      <c r="K19" s="17">
        <v>100</v>
      </c>
      <c r="L19" s="7">
        <f t="shared" si="22"/>
        <v>4.6606738826815652</v>
      </c>
      <c r="M19" s="9">
        <v>0.128</v>
      </c>
      <c r="N19" s="21">
        <f t="shared" si="14"/>
        <v>2.7463839612471216E-2</v>
      </c>
      <c r="O19" s="1"/>
      <c r="P19" s="7">
        <v>1.98</v>
      </c>
      <c r="Q19" s="1">
        <f t="shared" si="23"/>
        <v>1.0343434343434343</v>
      </c>
      <c r="R19" s="1"/>
      <c r="S19" s="1"/>
      <c r="T19" s="18" t="s">
        <v>58</v>
      </c>
      <c r="U19" s="7">
        <f t="shared" si="15"/>
        <v>5.6818319667905959</v>
      </c>
      <c r="V19" s="20">
        <f t="shared" si="16"/>
        <v>3.7518319667905962</v>
      </c>
      <c r="W19" s="22">
        <f t="shared" si="24"/>
        <v>2.9439543869381328</v>
      </c>
      <c r="X19" s="1"/>
      <c r="Y19" s="1"/>
      <c r="Z19" s="1"/>
      <c r="AA19" s="1"/>
      <c r="AB19" s="18" t="s">
        <v>58</v>
      </c>
      <c r="AC19" s="7">
        <f t="shared" si="17"/>
        <v>12.683071199999999</v>
      </c>
      <c r="AD19" s="20">
        <f t="shared" si="10"/>
        <v>8.5730711999999976</v>
      </c>
      <c r="AE19" s="22">
        <f t="shared" si="25"/>
        <v>3.0859054014598533</v>
      </c>
      <c r="AF19" s="1"/>
      <c r="AG19" s="1"/>
      <c r="AH19" s="18" t="s">
        <v>58</v>
      </c>
      <c r="AI19" s="7">
        <f t="shared" si="18"/>
        <v>6.3715917417583556</v>
      </c>
      <c r="AJ19" s="20">
        <f t="shared" si="11"/>
        <v>4.5715917417583558</v>
      </c>
      <c r="AK19" s="22">
        <f t="shared" si="26"/>
        <v>3.5397731898657532</v>
      </c>
      <c r="AL19" s="1"/>
      <c r="AM19" s="1"/>
      <c r="AN19" s="18" t="s">
        <v>58</v>
      </c>
      <c r="AO19" s="7">
        <f t="shared" si="19"/>
        <v>5.4381632077515762</v>
      </c>
      <c r="AP19" s="20">
        <f t="shared" si="20"/>
        <v>3.448163207751576</v>
      </c>
      <c r="AQ19" s="22">
        <f>AO19/$AO$14</f>
        <v>2.7327453305284304</v>
      </c>
      <c r="AR19" s="1"/>
      <c r="AS19" s="1"/>
      <c r="AT19" s="18" t="s">
        <v>58</v>
      </c>
      <c r="AU19" s="7">
        <f t="shared" si="21"/>
        <v>5.328810017033712</v>
      </c>
      <c r="AV19" s="20">
        <f t="shared" si="12"/>
        <v>3.2588100170337122</v>
      </c>
      <c r="AW19" s="22">
        <f>AU19/$AU$14</f>
        <v>2.5743043560549337</v>
      </c>
      <c r="AX19" s="1"/>
      <c r="AY19" s="1"/>
      <c r="AZ19" s="1"/>
      <c r="BA19" s="1"/>
      <c r="BB19" s="1"/>
      <c r="BC19" s="1"/>
      <c r="BD19" s="1"/>
      <c r="BE19" s="1"/>
      <c r="BF19" s="1"/>
      <c r="BG19" s="1"/>
      <c r="BH19" s="1"/>
      <c r="BI19" s="1"/>
      <c r="BJ19" s="1"/>
      <c r="BK19" s="1"/>
      <c r="BL19" s="1"/>
      <c r="BM19" s="1"/>
      <c r="BN19" s="1"/>
      <c r="BO19" s="1"/>
      <c r="BP19" s="1"/>
      <c r="BQ19" s="1"/>
      <c r="BR19" s="1"/>
      <c r="BS19" s="1"/>
    </row>
    <row r="20" spans="1:71" x14ac:dyDescent="0.25">
      <c r="A20" s="1"/>
      <c r="B20" s="8"/>
      <c r="C20" s="8"/>
      <c r="D20" s="8"/>
      <c r="E20" s="8"/>
      <c r="F20" s="8"/>
      <c r="G20" s="8"/>
      <c r="H20" s="8"/>
      <c r="I20" s="8"/>
      <c r="J20" s="8"/>
      <c r="K20" s="12"/>
      <c r="L20" s="12"/>
      <c r="M20" s="12"/>
      <c r="N20" s="12"/>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1" x14ac:dyDescent="0.25">
      <c r="A21" s="1"/>
      <c r="B21" s="8" t="s">
        <v>6</v>
      </c>
      <c r="C21" s="8"/>
      <c r="D21" s="8"/>
      <c r="E21" s="8"/>
      <c r="F21" s="8"/>
      <c r="G21" s="8"/>
      <c r="H21" s="8"/>
      <c r="I21" s="8"/>
      <c r="J21" s="1"/>
      <c r="K21" s="474" t="s">
        <v>209</v>
      </c>
      <c r="L21" s="474"/>
      <c r="M21" s="474"/>
      <c r="N21" s="474"/>
      <c r="P21" s="1"/>
      <c r="Q21" s="1"/>
      <c r="R21" s="1"/>
      <c r="S21" s="1"/>
      <c r="T21" s="19" t="s">
        <v>23</v>
      </c>
      <c r="U21" s="19" t="s">
        <v>8</v>
      </c>
      <c r="V21" s="19" t="s">
        <v>12</v>
      </c>
      <c r="W21" s="19" t="s">
        <v>13</v>
      </c>
      <c r="X21" s="1"/>
      <c r="Y21" s="1"/>
      <c r="Z21" s="1"/>
      <c r="AA21" s="1"/>
      <c r="AB21" s="19" t="s">
        <v>32</v>
      </c>
      <c r="AC21" s="19" t="s">
        <v>8</v>
      </c>
      <c r="AD21" s="19" t="s">
        <v>12</v>
      </c>
      <c r="AE21" s="19" t="s">
        <v>13</v>
      </c>
      <c r="AF21" s="1"/>
      <c r="AG21" s="1"/>
      <c r="AH21" s="19" t="s">
        <v>44</v>
      </c>
      <c r="AI21" s="19" t="s">
        <v>8</v>
      </c>
      <c r="AJ21" s="19" t="s">
        <v>12</v>
      </c>
      <c r="AK21" s="19" t="s">
        <v>13</v>
      </c>
      <c r="AL21" s="1"/>
      <c r="AM21" s="1"/>
      <c r="AN21" s="19" t="s">
        <v>46</v>
      </c>
      <c r="AO21" s="19" t="s">
        <v>8</v>
      </c>
      <c r="AP21" s="19" t="s">
        <v>12</v>
      </c>
      <c r="AQ21" s="19" t="s">
        <v>13</v>
      </c>
      <c r="AR21" s="1"/>
      <c r="AS21" s="1"/>
      <c r="AT21" s="19" t="s">
        <v>48</v>
      </c>
      <c r="AU21" s="19" t="s">
        <v>8</v>
      </c>
      <c r="AV21" s="19" t="s">
        <v>12</v>
      </c>
      <c r="AW21" s="19" t="s">
        <v>13</v>
      </c>
      <c r="AX21" s="1"/>
      <c r="AY21" s="1"/>
      <c r="AZ21" s="1"/>
      <c r="BA21" s="1"/>
      <c r="BB21" s="1"/>
      <c r="BC21" s="1"/>
      <c r="BD21" s="1"/>
      <c r="BE21" s="1"/>
      <c r="BF21" s="1"/>
      <c r="BG21" s="1"/>
      <c r="BH21" s="1"/>
      <c r="BI21" s="1"/>
      <c r="BJ21" s="1"/>
      <c r="BK21" s="1"/>
      <c r="BL21" s="1"/>
      <c r="BM21" s="1"/>
      <c r="BN21" s="1"/>
      <c r="BO21" s="1"/>
      <c r="BP21" s="1"/>
      <c r="BQ21" s="1"/>
      <c r="BR21" s="1"/>
      <c r="BS21" s="1"/>
    </row>
    <row r="22" spans="1:71" x14ac:dyDescent="0.25">
      <c r="A22" s="1"/>
      <c r="B22" s="11" t="s">
        <v>0</v>
      </c>
      <c r="C22" s="11" t="s">
        <v>1</v>
      </c>
      <c r="D22" s="11" t="s">
        <v>2</v>
      </c>
      <c r="E22" s="11" t="s">
        <v>3</v>
      </c>
      <c r="F22" s="8"/>
      <c r="G22" s="8"/>
      <c r="H22" s="8"/>
      <c r="I22" s="8"/>
      <c r="J22" s="1"/>
      <c r="K22" s="15" t="s">
        <v>0</v>
      </c>
      <c r="L22" s="15" t="s">
        <v>1</v>
      </c>
      <c r="M22" s="15" t="s">
        <v>2</v>
      </c>
      <c r="N22" s="15" t="s">
        <v>3</v>
      </c>
      <c r="O22" s="475" t="s">
        <v>93</v>
      </c>
      <c r="P22" s="1"/>
      <c r="Q22" s="1"/>
      <c r="R22" s="1"/>
      <c r="S22" s="1"/>
      <c r="T22" s="18" t="s">
        <v>21</v>
      </c>
      <c r="U22" s="7">
        <v>1.93</v>
      </c>
      <c r="V22" s="20">
        <v>0</v>
      </c>
      <c r="W22" s="22">
        <v>0</v>
      </c>
      <c r="X22" s="1"/>
      <c r="Y22" s="1"/>
      <c r="Z22" s="1"/>
      <c r="AA22" s="1"/>
      <c r="AB22" s="18" t="s">
        <v>21</v>
      </c>
      <c r="AC22" s="7">
        <v>4.1100000000000003</v>
      </c>
      <c r="AD22" s="20">
        <v>0</v>
      </c>
      <c r="AE22" s="22">
        <v>0</v>
      </c>
      <c r="AF22" s="1"/>
      <c r="AG22" s="1"/>
      <c r="AH22" s="18" t="s">
        <v>21</v>
      </c>
      <c r="AI22" s="7">
        <v>1.8</v>
      </c>
      <c r="AJ22" s="20">
        <v>0</v>
      </c>
      <c r="AK22" s="22">
        <v>0</v>
      </c>
      <c r="AL22" s="1"/>
      <c r="AM22" s="1"/>
      <c r="AN22" s="18" t="s">
        <v>21</v>
      </c>
      <c r="AO22" s="7">
        <v>1.99</v>
      </c>
      <c r="AP22" s="20">
        <v>0</v>
      </c>
      <c r="AQ22" s="22">
        <v>0</v>
      </c>
      <c r="AR22" s="1"/>
      <c r="AS22" s="1"/>
      <c r="AT22" s="18" t="s">
        <v>21</v>
      </c>
      <c r="AU22" s="7">
        <v>2.0699999999999998</v>
      </c>
      <c r="AV22" s="20">
        <v>0</v>
      </c>
      <c r="AW22" s="22">
        <v>0</v>
      </c>
      <c r="AX22" s="1"/>
      <c r="AY22" s="1"/>
      <c r="AZ22" s="1"/>
      <c r="BA22" s="1"/>
      <c r="BB22" s="1"/>
      <c r="BC22" s="1"/>
      <c r="BD22" s="1"/>
      <c r="BE22" s="1"/>
      <c r="BF22" s="1"/>
      <c r="BG22" s="1"/>
      <c r="BH22" s="1"/>
      <c r="BI22" s="1"/>
      <c r="BJ22" s="1"/>
      <c r="BK22" s="1"/>
      <c r="BL22" s="1"/>
      <c r="BM22" s="1"/>
      <c r="BN22" s="1"/>
      <c r="BO22" s="1"/>
      <c r="BP22" s="1"/>
      <c r="BQ22" s="1"/>
      <c r="BR22" s="1"/>
      <c r="BS22" s="1"/>
    </row>
    <row r="23" spans="1:71" x14ac:dyDescent="0.25">
      <c r="A23" s="1"/>
      <c r="B23" s="16">
        <v>1</v>
      </c>
      <c r="C23" s="7">
        <v>7.21</v>
      </c>
      <c r="D23" s="6">
        <v>0.9</v>
      </c>
      <c r="E23" s="21">
        <f>D23/C23</f>
        <v>0.12482662968099861</v>
      </c>
      <c r="F23" s="8"/>
      <c r="G23" s="8"/>
      <c r="H23" s="8"/>
      <c r="I23" s="8"/>
      <c r="J23" s="1"/>
      <c r="K23" s="17">
        <v>1</v>
      </c>
      <c r="L23" s="7">
        <f>L15+7.36*$K$44*1.18</f>
        <v>20.791919999999998</v>
      </c>
      <c r="M23" s="9">
        <f>L23*N23</f>
        <v>2.8243559139505097</v>
      </c>
      <c r="N23" s="21">
        <f>(N15+E23)/2</f>
        <v>0.13583911028661663</v>
      </c>
      <c r="O23" s="475"/>
      <c r="P23" s="1"/>
      <c r="Q23" s="1"/>
      <c r="R23" s="1"/>
      <c r="S23" s="1"/>
      <c r="T23" s="18" t="s">
        <v>28</v>
      </c>
      <c r="U23" s="7">
        <f>U15*0.97</f>
        <v>1.1413892999999999</v>
      </c>
      <c r="V23" s="20">
        <f>U23-$U$22</f>
        <v>-0.7886107</v>
      </c>
      <c r="W23" s="22">
        <f>U23/$U$14</f>
        <v>0.59139341968911918</v>
      </c>
      <c r="X23" s="1"/>
      <c r="Y23" s="1"/>
      <c r="Z23" s="1"/>
      <c r="AA23" s="1"/>
      <c r="AB23" s="18" t="s">
        <v>28</v>
      </c>
      <c r="AC23" s="7">
        <f>AC15*0.97</f>
        <v>2.4336621000000003</v>
      </c>
      <c r="AD23" s="20">
        <f t="shared" ref="AD23:AD27" si="27">AC23-$AC$14</f>
        <v>-1.6763379</v>
      </c>
      <c r="AE23" s="22">
        <f>AC23/$AC$14</f>
        <v>0.59213189781021902</v>
      </c>
      <c r="AF23" s="1"/>
      <c r="AG23" s="1"/>
      <c r="AH23" s="18" t="s">
        <v>28</v>
      </c>
      <c r="AI23" s="7">
        <f>AI15*0.97</f>
        <v>1.0644682999999999</v>
      </c>
      <c r="AJ23" s="20">
        <f>AI23-$AI$14</f>
        <v>-0.73553170000000012</v>
      </c>
      <c r="AK23" s="22">
        <f>AI23/$AI$14</f>
        <v>0.59137127777777776</v>
      </c>
      <c r="AL23" s="1"/>
      <c r="AM23" s="1"/>
      <c r="AN23" s="18" t="s">
        <v>28</v>
      </c>
      <c r="AO23" s="7">
        <f>AO15*0.97</f>
        <v>1.1792581</v>
      </c>
      <c r="AP23" s="20">
        <f>AO23-$AO$14</f>
        <v>-0.81074190000000002</v>
      </c>
      <c r="AQ23" s="22">
        <f>AO23/$AO$14</f>
        <v>0.59259201005025119</v>
      </c>
      <c r="AR23" s="1"/>
      <c r="AS23" s="1"/>
      <c r="AT23" s="18" t="s">
        <v>28</v>
      </c>
      <c r="AU23" s="7">
        <f>AU15*0.97</f>
        <v>1.2224522</v>
      </c>
      <c r="AV23" s="20">
        <f>AU23-$AU$14</f>
        <v>-0.84754779999999985</v>
      </c>
      <c r="AW23" s="22">
        <f>AU23/$AO$14</f>
        <v>0.61429758793969846</v>
      </c>
      <c r="AX23" s="1"/>
      <c r="AY23" s="1"/>
      <c r="AZ23" s="1"/>
      <c r="BB23" s="1"/>
      <c r="BC23" s="1"/>
      <c r="BD23" s="1"/>
      <c r="BE23" s="1"/>
      <c r="BF23" s="1"/>
      <c r="BG23" s="1"/>
      <c r="BH23" s="1"/>
      <c r="BI23" s="1"/>
      <c r="BJ23" s="1"/>
      <c r="BK23" s="1"/>
      <c r="BL23" s="1"/>
      <c r="BM23" s="1"/>
      <c r="BN23" s="1"/>
      <c r="BO23" s="1"/>
      <c r="BP23" s="1"/>
      <c r="BQ23" s="1"/>
      <c r="BR23" s="1"/>
      <c r="BS23" s="1"/>
    </row>
    <row r="24" spans="1:71" x14ac:dyDescent="0.25">
      <c r="A24" s="1"/>
      <c r="B24" s="16">
        <v>25</v>
      </c>
      <c r="C24" s="7">
        <v>3.9430000000000001</v>
      </c>
      <c r="D24" s="6">
        <v>0.36299999999999999</v>
      </c>
      <c r="E24" s="21">
        <f t="shared" ref="E24:E27" si="28">D24/C24</f>
        <v>9.2061881815876226E-2</v>
      </c>
      <c r="F24" s="8"/>
      <c r="G24" s="8"/>
      <c r="H24" s="8"/>
      <c r="I24" s="8"/>
      <c r="J24" s="1"/>
      <c r="K24" s="17">
        <v>25</v>
      </c>
      <c r="L24" s="7">
        <f>L23/H46</f>
        <v>10.445232363538288</v>
      </c>
      <c r="M24" s="9">
        <f>L24*N24</f>
        <v>1.0419484562585282</v>
      </c>
      <c r="N24" s="21">
        <f>(N16+E24)/2</f>
        <v>9.9753497097461549E-2</v>
      </c>
      <c r="O24" s="475"/>
      <c r="P24" s="1"/>
      <c r="Q24" s="1"/>
      <c r="R24" s="1"/>
      <c r="S24" s="1"/>
      <c r="T24" s="18" t="s">
        <v>25</v>
      </c>
      <c r="U24" s="7">
        <f t="shared" ref="U24:U27" si="29">U16*0.97</f>
        <v>2.2496434000000001</v>
      </c>
      <c r="V24" s="20">
        <f t="shared" ref="V24:V27" si="30">U24-$U$22</f>
        <v>0.31964340000000013</v>
      </c>
      <c r="W24" s="22">
        <f>U24/$U$14</f>
        <v>1.1656183419689119</v>
      </c>
      <c r="X24" s="1"/>
      <c r="Y24" s="1"/>
      <c r="Z24" s="1"/>
      <c r="AA24" s="1"/>
      <c r="AB24" s="18" t="s">
        <v>25</v>
      </c>
      <c r="AC24" s="7">
        <f t="shared" ref="AC24:AC27" si="31">AC16*0.97</f>
        <v>4.2661569999999998</v>
      </c>
      <c r="AD24" s="20">
        <f t="shared" si="27"/>
        <v>0.15615699999999944</v>
      </c>
      <c r="AE24" s="22">
        <f>AC24/$AC$14</f>
        <v>1.0379944038929438</v>
      </c>
      <c r="AF24" s="1"/>
      <c r="AG24" s="1"/>
      <c r="AH24" s="18" t="s">
        <v>25</v>
      </c>
      <c r="AI24" s="7">
        <f t="shared" ref="AI24:AI27" si="32">AI16*0.97</f>
        <v>2.3330731</v>
      </c>
      <c r="AJ24" s="20">
        <f t="shared" ref="AJ24:AJ27" si="33">AI24-$AI$14</f>
        <v>0.53307309999999997</v>
      </c>
      <c r="AK24" s="22">
        <f>AI24/$AI$14</f>
        <v>1.2961517222222223</v>
      </c>
      <c r="AL24" s="1"/>
      <c r="AM24" s="1"/>
      <c r="AN24" s="18" t="s">
        <v>25</v>
      </c>
      <c r="AO24" s="7">
        <f t="shared" ref="AO24:AO27" si="34">AO16*0.97</f>
        <v>2.2230169000000002</v>
      </c>
      <c r="AP24" s="20">
        <f t="shared" ref="AP24:AP27" si="35">AO24-$AO$14</f>
        <v>0.23301690000000019</v>
      </c>
      <c r="AQ24" s="22">
        <f>AO24/$AO$14</f>
        <v>1.1170939195979901</v>
      </c>
      <c r="AR24" s="1"/>
      <c r="AS24" s="1"/>
      <c r="AT24" s="18" t="s">
        <v>25</v>
      </c>
      <c r="AU24" s="7">
        <f t="shared" ref="AU24:AU27" si="36">AU16*0.97</f>
        <v>2.2082244000000002</v>
      </c>
      <c r="AV24" s="20">
        <f t="shared" ref="AV24:AV27" si="37">AU24-$AU$14</f>
        <v>0.13822440000000036</v>
      </c>
      <c r="AW24" s="22">
        <f>AU24/$AO$14</f>
        <v>1.109660502512563</v>
      </c>
      <c r="AX24" s="1"/>
      <c r="AY24" s="1"/>
      <c r="AZ24" s="1"/>
      <c r="BA24" s="1"/>
      <c r="BB24" s="1"/>
      <c r="BC24" s="1"/>
      <c r="BD24" s="1"/>
      <c r="BE24" s="1"/>
      <c r="BF24" s="1"/>
      <c r="BG24" s="1"/>
      <c r="BH24" s="1"/>
      <c r="BI24" s="1"/>
      <c r="BJ24" s="1"/>
      <c r="BK24" s="1"/>
      <c r="BL24" s="1"/>
      <c r="BM24" s="1"/>
      <c r="BN24" s="1"/>
      <c r="BO24" s="1"/>
      <c r="BP24" s="1"/>
      <c r="BQ24" s="1"/>
      <c r="BR24" s="1"/>
      <c r="BS24" s="1"/>
    </row>
    <row r="25" spans="1:71" ht="15" customHeight="1" x14ac:dyDescent="0.25">
      <c r="A25" s="1"/>
      <c r="B25" s="16">
        <v>50</v>
      </c>
      <c r="C25" s="7">
        <v>3.802</v>
      </c>
      <c r="D25" s="6">
        <v>0.15</v>
      </c>
      <c r="E25" s="21">
        <f t="shared" si="28"/>
        <v>3.9452919516044183E-2</v>
      </c>
      <c r="F25" s="8"/>
      <c r="G25" s="8"/>
      <c r="H25" s="8"/>
      <c r="I25" s="8"/>
      <c r="J25" s="1"/>
      <c r="K25" s="17">
        <v>50</v>
      </c>
      <c r="L25" s="7">
        <f>L24/H47</f>
        <v>9.3144786340829437</v>
      </c>
      <c r="M25" s="9">
        <f t="shared" ref="M25:M27" si="38">L25*N25</f>
        <v>0.53068111888450753</v>
      </c>
      <c r="N25" s="21">
        <f>(N17+E25)/2</f>
        <v>5.6973786696195017E-2</v>
      </c>
      <c r="O25" s="475"/>
      <c r="P25" s="1"/>
      <c r="Q25" s="1"/>
      <c r="R25" s="1"/>
      <c r="S25" s="1"/>
      <c r="T25" s="18" t="s">
        <v>26</v>
      </c>
      <c r="U25" s="7">
        <f t="shared" si="29"/>
        <v>3.2159604055201099</v>
      </c>
      <c r="V25" s="20">
        <f t="shared" si="30"/>
        <v>1.2859604055201099</v>
      </c>
      <c r="W25" s="22">
        <f t="shared" ref="W25:W27" si="39">U25/$U$14</f>
        <v>1.6663007282487616</v>
      </c>
      <c r="X25" s="1"/>
      <c r="Y25" s="1"/>
      <c r="Z25" s="1"/>
      <c r="AA25" s="1"/>
      <c r="AB25" s="18" t="s">
        <v>26</v>
      </c>
      <c r="AC25" s="7">
        <f t="shared" si="31"/>
        <v>6.0986518999999983</v>
      </c>
      <c r="AD25" s="20">
        <f t="shared" si="27"/>
        <v>1.988651899999998</v>
      </c>
      <c r="AE25" s="22">
        <f t="shared" ref="AE25:AE27" si="40">AC25/$AC$14</f>
        <v>1.4838569099756687</v>
      </c>
      <c r="AF25" s="1"/>
      <c r="AG25" s="1"/>
      <c r="AH25" s="18" t="s">
        <v>26</v>
      </c>
      <c r="AI25" s="7">
        <f t="shared" si="32"/>
        <v>3.3352266909431338</v>
      </c>
      <c r="AJ25" s="20">
        <f t="shared" si="33"/>
        <v>1.5352266909431338</v>
      </c>
      <c r="AK25" s="22">
        <f>AI25/$AI$14</f>
        <v>1.85290371719063</v>
      </c>
      <c r="AL25" s="1"/>
      <c r="AM25" s="1"/>
      <c r="AN25" s="18" t="s">
        <v>26</v>
      </c>
      <c r="AO25" s="7">
        <f t="shared" si="34"/>
        <v>3.1778966974063794</v>
      </c>
      <c r="AP25" s="20">
        <f t="shared" si="35"/>
        <v>1.1878966974063794</v>
      </c>
      <c r="AQ25" s="22">
        <f>AO25/$AO$14</f>
        <v>1.5969330137720499</v>
      </c>
      <c r="AR25" s="1"/>
      <c r="AS25" s="1"/>
      <c r="AT25" s="18" t="s">
        <v>26</v>
      </c>
      <c r="AU25" s="7">
        <f t="shared" si="36"/>
        <v>3.1567501928987509</v>
      </c>
      <c r="AV25" s="20">
        <f t="shared" si="37"/>
        <v>1.0867501928987511</v>
      </c>
      <c r="AW25" s="22">
        <f>AU25/$AO$14</f>
        <v>1.5863066295973622</v>
      </c>
      <c r="AX25" s="1"/>
      <c r="AY25" s="1"/>
      <c r="AZ25" s="1"/>
      <c r="BA25" s="1"/>
      <c r="BB25" s="1"/>
      <c r="BC25" s="1"/>
      <c r="BD25" s="1"/>
      <c r="BE25" s="1"/>
      <c r="BF25" s="1"/>
      <c r="BG25" s="1"/>
      <c r="BH25" s="1"/>
      <c r="BI25" s="1"/>
      <c r="BJ25" s="1"/>
      <c r="BK25" s="1"/>
      <c r="BL25" s="1"/>
      <c r="BM25" s="1"/>
      <c r="BN25" s="1"/>
      <c r="BO25" s="1"/>
      <c r="BP25" s="1"/>
      <c r="BQ25" s="1"/>
      <c r="BR25" s="1"/>
      <c r="BS25" s="1"/>
    </row>
    <row r="26" spans="1:71" x14ac:dyDescent="0.25">
      <c r="A26" s="1"/>
      <c r="B26" s="16">
        <v>75</v>
      </c>
      <c r="C26" s="7">
        <v>3.7570000000000001</v>
      </c>
      <c r="D26" s="6">
        <v>8.6999999999999994E-2</v>
      </c>
      <c r="E26" s="21">
        <f t="shared" si="28"/>
        <v>2.3156774021825921E-2</v>
      </c>
      <c r="F26" s="8"/>
      <c r="G26" s="8"/>
      <c r="H26" s="8"/>
      <c r="I26" s="8"/>
      <c r="J26" s="1"/>
      <c r="K26" s="17">
        <v>75</v>
      </c>
      <c r="L26" s="7">
        <f>L25/H48</f>
        <v>8.9150216520517649</v>
      </c>
      <c r="M26" s="9">
        <f t="shared" si="38"/>
        <v>0.30756995261811143</v>
      </c>
      <c r="N26" s="21">
        <f>(N18+E26)/2</f>
        <v>3.4500191320042971E-2</v>
      </c>
      <c r="O26" s="475"/>
      <c r="P26" s="1"/>
      <c r="Q26" s="1"/>
      <c r="R26" s="1"/>
      <c r="S26" s="1"/>
      <c r="T26" s="18" t="s">
        <v>27</v>
      </c>
      <c r="U26" s="7">
        <f t="shared" si="29"/>
        <v>3.0738836692912015</v>
      </c>
      <c r="V26" s="20">
        <f t="shared" si="30"/>
        <v>1.1438836692912016</v>
      </c>
      <c r="W26" s="22">
        <f t="shared" si="39"/>
        <v>1.5926858390109853</v>
      </c>
      <c r="X26" s="1" t="s">
        <v>95</v>
      </c>
      <c r="Y26" s="1"/>
      <c r="Z26" s="1"/>
      <c r="AA26" s="1"/>
      <c r="AB26" s="18" t="s">
        <v>27</v>
      </c>
      <c r="AC26" s="7">
        <f t="shared" si="31"/>
        <v>7.977891099999999</v>
      </c>
      <c r="AD26" s="20">
        <f t="shared" si="27"/>
        <v>3.8678910999999987</v>
      </c>
      <c r="AE26" s="22">
        <f>AC26/$AC$14</f>
        <v>1.9410927250608268</v>
      </c>
      <c r="AF26" s="1"/>
      <c r="AG26" s="1"/>
      <c r="AH26" s="18" t="s">
        <v>27</v>
      </c>
      <c r="AI26" s="7">
        <f t="shared" si="32"/>
        <v>3.7062095351082407</v>
      </c>
      <c r="AJ26" s="20">
        <f t="shared" si="33"/>
        <v>1.9062095351082406</v>
      </c>
      <c r="AK26" s="22">
        <f>AI26/$AI$14</f>
        <v>2.059005297282356</v>
      </c>
      <c r="AL26" s="1"/>
      <c r="AM26" s="1"/>
      <c r="AN26" s="18" t="s">
        <v>27</v>
      </c>
      <c r="AO26" s="7">
        <f t="shared" si="34"/>
        <v>2.8524303374301683</v>
      </c>
      <c r="AP26" s="20">
        <f t="shared" si="35"/>
        <v>0.86243033743016828</v>
      </c>
      <c r="AQ26" s="22">
        <f>AO26/$AO$14</f>
        <v>1.4333820791106373</v>
      </c>
      <c r="AR26" s="1"/>
      <c r="AS26" s="1"/>
      <c r="AT26" s="18" t="s">
        <v>27</v>
      </c>
      <c r="AU26" s="7">
        <f t="shared" si="36"/>
        <v>2.7577207363826819</v>
      </c>
      <c r="AV26" s="20">
        <f t="shared" si="37"/>
        <v>0.68772073638268205</v>
      </c>
      <c r="AW26" s="22">
        <f>AU26/$AO$14</f>
        <v>1.3857893147651668</v>
      </c>
      <c r="AX26" s="1"/>
      <c r="AY26" s="1"/>
      <c r="AZ26" s="1"/>
      <c r="BA26" s="1"/>
      <c r="BB26" s="1"/>
      <c r="BC26" s="1"/>
      <c r="BD26" s="1"/>
      <c r="BE26" s="1"/>
      <c r="BF26" s="1"/>
      <c r="BG26" s="1"/>
      <c r="BH26" s="1"/>
      <c r="BI26" s="1"/>
      <c r="BJ26" s="1"/>
      <c r="BK26" s="1"/>
      <c r="BL26" s="1"/>
      <c r="BM26" s="1"/>
      <c r="BN26" s="1"/>
      <c r="BO26" s="1"/>
      <c r="BP26" s="1"/>
      <c r="BQ26" s="1"/>
      <c r="BR26" s="1"/>
      <c r="BS26" s="1"/>
    </row>
    <row r="27" spans="1:71" x14ac:dyDescent="0.25">
      <c r="A27" s="1"/>
      <c r="B27" s="16">
        <v>100</v>
      </c>
      <c r="C27" s="7">
        <v>3.7320000000000002</v>
      </c>
      <c r="D27" s="6">
        <v>6.2E-2</v>
      </c>
      <c r="E27" s="21">
        <f t="shared" si="28"/>
        <v>1.6613076098606645E-2</v>
      </c>
      <c r="F27" s="8"/>
      <c r="G27" s="8"/>
      <c r="H27" s="8"/>
      <c r="I27" s="8"/>
      <c r="J27" s="1"/>
      <c r="K27" s="17">
        <v>100</v>
      </c>
      <c r="L27" s="7">
        <f>L26/H49</f>
        <v>8.7357541262847747</v>
      </c>
      <c r="M27" s="9">
        <f t="shared" si="38"/>
        <v>0.1925225491484773</v>
      </c>
      <c r="N27" s="21">
        <f>(N19+E27)/2</f>
        <v>2.2038457855538929E-2</v>
      </c>
      <c r="O27" s="475"/>
      <c r="P27" s="1"/>
      <c r="Q27" s="1"/>
      <c r="R27" s="1"/>
      <c r="S27" s="1"/>
      <c r="T27" s="18" t="s">
        <v>57</v>
      </c>
      <c r="U27" s="7">
        <f t="shared" si="29"/>
        <v>5.5113770077868782</v>
      </c>
      <c r="V27" s="20">
        <f t="shared" si="30"/>
        <v>3.5813770077868785</v>
      </c>
      <c r="W27" s="22">
        <f t="shared" si="39"/>
        <v>2.8556357553299887</v>
      </c>
      <c r="X27" s="1"/>
      <c r="Y27" s="1"/>
      <c r="Z27" s="1"/>
      <c r="AA27" s="1"/>
      <c r="AB27" s="18" t="s">
        <v>57</v>
      </c>
      <c r="AC27" s="7">
        <f t="shared" si="31"/>
        <v>12.302579063999998</v>
      </c>
      <c r="AD27" s="20">
        <f t="shared" si="27"/>
        <v>8.1925790639999967</v>
      </c>
      <c r="AE27" s="22">
        <f t="shared" si="40"/>
        <v>2.9933282394160576</v>
      </c>
      <c r="AF27" s="1"/>
      <c r="AG27" s="1"/>
      <c r="AH27" s="18" t="s">
        <v>57</v>
      </c>
      <c r="AI27" s="7">
        <f t="shared" si="32"/>
        <v>6.1804439895056049</v>
      </c>
      <c r="AJ27" s="20">
        <f t="shared" si="33"/>
        <v>4.3804439895056051</v>
      </c>
      <c r="AK27" s="22">
        <f>AI27/$AI$14</f>
        <v>3.4335799941697802</v>
      </c>
      <c r="AL27" s="1"/>
      <c r="AM27" s="1"/>
      <c r="AN27" s="18" t="s">
        <v>57</v>
      </c>
      <c r="AO27" s="7">
        <f t="shared" si="34"/>
        <v>5.2750183115190286</v>
      </c>
      <c r="AP27" s="20">
        <f t="shared" si="35"/>
        <v>3.2850183115190283</v>
      </c>
      <c r="AQ27" s="22">
        <f>AO27/$AO$14</f>
        <v>2.6507629706125773</v>
      </c>
      <c r="AR27" s="1"/>
      <c r="AS27" s="1"/>
      <c r="AT27" s="18" t="s">
        <v>57</v>
      </c>
      <c r="AU27" s="7">
        <f t="shared" si="36"/>
        <v>5.1689457165227006</v>
      </c>
      <c r="AV27" s="20">
        <f t="shared" si="37"/>
        <v>3.0989457165227008</v>
      </c>
      <c r="AW27" s="22">
        <f>AU27/$AO$14</f>
        <v>2.5974601590566335</v>
      </c>
      <c r="AX27" s="1"/>
      <c r="AY27" s="1"/>
      <c r="AZ27" s="1"/>
      <c r="BA27" s="1"/>
      <c r="BB27" s="1"/>
      <c r="BC27" s="1"/>
      <c r="BD27" s="1"/>
      <c r="BE27" s="1"/>
      <c r="BF27" s="1"/>
      <c r="BG27" s="1"/>
      <c r="BH27" s="1"/>
      <c r="BI27" s="1"/>
      <c r="BJ27" s="1"/>
      <c r="BK27" s="1"/>
      <c r="BL27" s="1"/>
      <c r="BM27" s="1"/>
      <c r="BN27" s="1"/>
      <c r="BO27" s="1"/>
      <c r="BP27" s="1"/>
      <c r="BQ27" s="1"/>
      <c r="BR27" s="1"/>
      <c r="BS27" s="1"/>
    </row>
    <row r="28" spans="1:71" x14ac:dyDescent="0.25">
      <c r="A28" s="1"/>
      <c r="B28" s="8"/>
      <c r="C28" s="8"/>
      <c r="D28" s="8"/>
      <c r="E28" s="8"/>
      <c r="F28" s="8"/>
      <c r="G28" s="8"/>
      <c r="H28" s="8"/>
      <c r="I28" s="8"/>
      <c r="J28" s="8"/>
      <c r="K28" s="8"/>
      <c r="L28" s="8"/>
      <c r="M28" s="8"/>
      <c r="N28" s="8"/>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row>
    <row r="29" spans="1:71" x14ac:dyDescent="0.25">
      <c r="A29" s="1"/>
      <c r="B29" s="8" t="s">
        <v>7</v>
      </c>
      <c r="C29" s="8"/>
      <c r="D29" s="8"/>
      <c r="E29" s="8"/>
      <c r="F29" s="8"/>
      <c r="G29" s="8"/>
      <c r="H29" s="8"/>
      <c r="I29" s="8"/>
      <c r="J29" s="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row>
    <row r="30" spans="1:71" x14ac:dyDescent="0.25">
      <c r="A30" s="1"/>
      <c r="B30" s="11" t="s">
        <v>0</v>
      </c>
      <c r="C30" s="11" t="s">
        <v>1</v>
      </c>
      <c r="D30" s="11" t="s">
        <v>2</v>
      </c>
      <c r="E30" s="11" t="s">
        <v>3</v>
      </c>
      <c r="F30" s="8"/>
      <c r="G30" s="8"/>
      <c r="H30" s="8"/>
      <c r="I30" s="8"/>
      <c r="J30" s="8"/>
      <c r="K30" s="1"/>
      <c r="L30" s="1"/>
      <c r="M30" s="1"/>
      <c r="N30" s="1"/>
      <c r="O30" s="1"/>
      <c r="P30" s="1"/>
      <c r="Q30" s="1"/>
      <c r="R30" s="1"/>
      <c r="S30" s="1"/>
      <c r="T30" s="1"/>
      <c r="U30" s="1"/>
      <c r="V30" s="1"/>
      <c r="W30" s="1"/>
      <c r="X30" s="1"/>
      <c r="Y30" s="1"/>
      <c r="Z30" s="1"/>
      <c r="AA30" s="1"/>
      <c r="AB30" s="1"/>
      <c r="AC30" s="1"/>
      <c r="AD30" s="1" t="s">
        <v>38</v>
      </c>
      <c r="AE30" s="1"/>
      <c r="AF30" s="1"/>
      <c r="AG30" s="1"/>
      <c r="AH30" s="1"/>
      <c r="AI30" s="1"/>
      <c r="AJ30" s="1" t="s">
        <v>49</v>
      </c>
      <c r="AK30" s="1"/>
      <c r="AL30" s="1"/>
      <c r="AM30" s="1"/>
      <c r="AN30" s="1"/>
      <c r="AO30" s="1"/>
      <c r="AP30" s="1" t="s">
        <v>50</v>
      </c>
      <c r="AQ30" s="1"/>
      <c r="AR30" s="1"/>
      <c r="AS30" s="1"/>
      <c r="AT30" s="1"/>
      <c r="AU30" s="1"/>
      <c r="AV30" s="1" t="s">
        <v>51</v>
      </c>
      <c r="AW30" s="1"/>
      <c r="AX30" s="1"/>
      <c r="AY30" s="1"/>
      <c r="AZ30" s="1"/>
      <c r="BA30" s="1"/>
      <c r="BB30" s="1"/>
      <c r="BC30" s="1"/>
      <c r="BD30" s="1"/>
      <c r="BE30" s="1"/>
      <c r="BF30" s="1"/>
      <c r="BG30" s="1"/>
      <c r="BH30" s="1"/>
      <c r="BI30" s="1"/>
      <c r="BJ30" s="1"/>
      <c r="BK30" s="1"/>
      <c r="BL30" s="1"/>
      <c r="BM30" s="1"/>
      <c r="BN30" s="1"/>
      <c r="BO30" s="1"/>
      <c r="BP30" s="1"/>
      <c r="BQ30" s="1"/>
      <c r="BR30" s="1"/>
      <c r="BS30" s="1"/>
    </row>
    <row r="31" spans="1:71" x14ac:dyDescent="0.25">
      <c r="A31" s="1"/>
      <c r="B31" s="16">
        <v>1</v>
      </c>
      <c r="C31" s="7">
        <f>C15+7.36*$K$44</f>
        <v>10.306999999999999</v>
      </c>
      <c r="D31" s="6">
        <f>C31*E31</f>
        <v>1.2865880721220526</v>
      </c>
      <c r="E31" s="21">
        <v>0.12482662968099861</v>
      </c>
      <c r="F31" s="8"/>
      <c r="G31" s="8"/>
      <c r="H31" s="8"/>
      <c r="I31" s="8"/>
      <c r="J31" s="8"/>
      <c r="K31" s="1"/>
      <c r="L31" s="1"/>
      <c r="M31" s="1"/>
      <c r="N31" s="1"/>
      <c r="O31" s="1"/>
      <c r="P31" s="1"/>
      <c r="Q31" s="1"/>
      <c r="R31" s="1"/>
      <c r="S31" s="1"/>
      <c r="T31" s="1"/>
      <c r="U31" s="1"/>
      <c r="V31" s="1"/>
      <c r="W31" s="1"/>
      <c r="X31" s="1"/>
      <c r="Y31" s="1"/>
      <c r="Z31" s="1"/>
      <c r="AA31" s="1"/>
      <c r="AB31" s="1"/>
      <c r="AC31" s="1"/>
      <c r="AD31" s="1">
        <f>AC4/1.2</f>
        <v>3.4275000000000007</v>
      </c>
      <c r="AE31" s="1"/>
      <c r="AF31" s="1"/>
      <c r="AG31" s="1"/>
      <c r="AH31" s="1"/>
      <c r="AI31" s="1"/>
      <c r="AJ31" s="1">
        <f>AI4/1.2</f>
        <v>1.4991666666666668</v>
      </c>
      <c r="AK31" s="1"/>
      <c r="AL31" s="1"/>
      <c r="AM31" s="1"/>
      <c r="AN31" s="1"/>
      <c r="AO31" s="1"/>
      <c r="AP31" s="1">
        <f>AO4/1.2</f>
        <v>1.6608333333333334</v>
      </c>
      <c r="AQ31" s="1"/>
      <c r="AR31" s="1"/>
      <c r="AS31" s="1"/>
      <c r="AT31" s="1"/>
      <c r="AU31" s="1"/>
      <c r="AV31" s="1">
        <f>AU4/1.2</f>
        <v>1.7216666666666667</v>
      </c>
      <c r="AW31" s="1"/>
      <c r="AX31" s="1"/>
      <c r="AY31" s="1"/>
      <c r="AZ31" s="1"/>
      <c r="BA31" s="1"/>
      <c r="BB31" s="1"/>
      <c r="BC31" s="1"/>
      <c r="BD31" s="1"/>
      <c r="BE31" s="1"/>
      <c r="BF31" s="1"/>
      <c r="BG31" s="1"/>
      <c r="BH31" s="1"/>
      <c r="BI31" s="1"/>
      <c r="BJ31" s="1"/>
      <c r="BK31" s="1"/>
      <c r="BL31" s="1"/>
      <c r="BM31" s="1"/>
      <c r="BN31" s="1"/>
      <c r="BO31" s="1"/>
      <c r="BP31" s="1"/>
      <c r="BQ31" s="1"/>
      <c r="BR31" s="1"/>
      <c r="BS31" s="1"/>
    </row>
    <row r="32" spans="1:71" x14ac:dyDescent="0.25">
      <c r="A32" s="1"/>
      <c r="B32" s="16">
        <v>25</v>
      </c>
      <c r="C32" s="7">
        <f>C31/B46</f>
        <v>5.636685298196948</v>
      </c>
      <c r="D32" s="6">
        <f t="shared" ref="D32:D35" si="41">C32*E32</f>
        <v>0.5189238557558945</v>
      </c>
      <c r="E32" s="21">
        <v>9.2061881815876226E-2</v>
      </c>
      <c r="F32" s="8"/>
      <c r="G32" s="8"/>
      <c r="H32" s="8"/>
      <c r="I32" s="8"/>
      <c r="J32" s="8"/>
      <c r="K32" s="1"/>
      <c r="L32" s="1"/>
      <c r="M32" s="1"/>
      <c r="N32" s="1"/>
      <c r="O32" s="1"/>
      <c r="P32" s="1"/>
      <c r="Q32" s="1"/>
      <c r="R32" s="1"/>
      <c r="S32" s="1"/>
      <c r="T32" s="1"/>
      <c r="U32" s="1"/>
      <c r="V32" s="1" t="s">
        <v>37</v>
      </c>
      <c r="W32" s="1"/>
      <c r="X32" s="1"/>
      <c r="Y32" s="1"/>
      <c r="Z32" s="1"/>
      <c r="AA32" s="1"/>
      <c r="AB32" s="1"/>
      <c r="AC32" s="1">
        <f>AC5/AC4</f>
        <v>1.7529783612934595</v>
      </c>
      <c r="AD32" s="1">
        <f>AC5/AC7</f>
        <v>0.53474745976414739</v>
      </c>
      <c r="AE32" s="1"/>
      <c r="AF32" s="1"/>
      <c r="AG32" s="1"/>
      <c r="AH32" s="1"/>
      <c r="AI32" s="1">
        <f>AI5/AI4</f>
        <v>2.1917732073374099</v>
      </c>
      <c r="AJ32" s="1">
        <f>AI5/AI7</f>
        <v>0.62950383077352423</v>
      </c>
      <c r="AK32" s="1"/>
      <c r="AL32" s="1"/>
      <c r="AM32" s="1"/>
      <c r="AN32" s="1"/>
      <c r="AO32" s="1">
        <f>AO5/AO4</f>
        <v>1.88509784244857</v>
      </c>
      <c r="AP32" s="1">
        <f>AO5/AO7</f>
        <v>0.77934134651042042</v>
      </c>
      <c r="AQ32" s="1"/>
      <c r="AR32" s="1"/>
      <c r="AS32" s="1"/>
      <c r="AT32" s="1"/>
      <c r="AU32" s="1">
        <f>AU5/AU4</f>
        <v>1.8063891577928366</v>
      </c>
      <c r="AV32" s="1">
        <f>AU5/AU7</f>
        <v>0.80074257370111401</v>
      </c>
      <c r="AW32" s="1"/>
      <c r="AX32" s="1"/>
      <c r="AY32" s="1"/>
      <c r="AZ32" s="1"/>
      <c r="BA32" s="1"/>
      <c r="BB32" s="1"/>
      <c r="BC32" s="1"/>
      <c r="BD32" s="1"/>
      <c r="BE32" s="1"/>
      <c r="BF32" s="1"/>
      <c r="BG32" s="1"/>
      <c r="BH32" s="1"/>
      <c r="BI32" s="1"/>
      <c r="BJ32" s="1"/>
      <c r="BK32" s="1"/>
      <c r="BL32" s="1"/>
      <c r="BM32" s="1"/>
      <c r="BN32" s="1"/>
      <c r="BO32" s="1"/>
      <c r="BP32" s="1"/>
      <c r="BQ32" s="1"/>
      <c r="BR32" s="1"/>
      <c r="BS32" s="1"/>
    </row>
    <row r="33" spans="1:72" x14ac:dyDescent="0.25">
      <c r="A33" s="1"/>
      <c r="B33" s="16">
        <v>50</v>
      </c>
      <c r="C33" s="7">
        <f>C32/B47</f>
        <v>5.4351198335644924</v>
      </c>
      <c r="D33" s="6">
        <f t="shared" si="41"/>
        <v>0.21443134535367536</v>
      </c>
      <c r="E33" s="21">
        <v>3.9452919516044183E-2</v>
      </c>
      <c r="F33" s="8"/>
      <c r="G33" s="8"/>
      <c r="H33" s="8"/>
      <c r="I33" s="8"/>
      <c r="J33" s="8"/>
      <c r="K33" s="1"/>
      <c r="L33" s="1"/>
      <c r="M33" s="1"/>
      <c r="N33" s="1"/>
      <c r="O33" s="1"/>
      <c r="P33" s="1"/>
      <c r="Q33" s="1"/>
      <c r="R33" s="1"/>
      <c r="S33" s="1"/>
      <c r="T33" s="1"/>
      <c r="V33" s="1">
        <f>U4/1.2</f>
        <v>1.6075000000000002</v>
      </c>
      <c r="W33" s="1" t="s">
        <v>94</v>
      </c>
      <c r="X33" s="1"/>
      <c r="Y33" s="1"/>
      <c r="Z33" s="1"/>
      <c r="AA33" s="1"/>
      <c r="AB33" s="1"/>
      <c r="AC33" s="1">
        <f>AC6/AC4</f>
        <v>2.505956722586919</v>
      </c>
      <c r="AD33" s="1">
        <f>AC6/AC7</f>
        <v>0.76444411481124364</v>
      </c>
      <c r="AE33" s="1"/>
      <c r="AF33" s="1"/>
      <c r="AG33" s="1"/>
      <c r="AH33" s="1"/>
      <c r="AI33" s="1">
        <f>AI6/AI4</f>
        <v>3.1332325170633397</v>
      </c>
      <c r="AJ33" s="1">
        <f>AI6/AI7</f>
        <v>0.89990235558706144</v>
      </c>
      <c r="AK33" s="1"/>
      <c r="AL33" s="1"/>
      <c r="AM33" s="1"/>
      <c r="AN33" s="1"/>
      <c r="AO33" s="1">
        <f>AO6/AO4</f>
        <v>2.6948271098637178</v>
      </c>
      <c r="AP33" s="1">
        <f>AO6/AO7</f>
        <v>1.1141014228131625</v>
      </c>
      <c r="AQ33" s="1"/>
      <c r="AR33" s="1"/>
      <c r="AS33" s="1"/>
      <c r="AT33" s="1"/>
      <c r="AU33" s="1">
        <f>AU6/AU4</f>
        <v>2.5823097155854038</v>
      </c>
      <c r="AV33" s="1">
        <f>AU6/AU7</f>
        <v>1.1446953824046295</v>
      </c>
      <c r="AW33" s="1"/>
      <c r="AX33" s="1"/>
      <c r="AY33" s="1"/>
      <c r="AZ33" s="1"/>
      <c r="BA33" s="1"/>
      <c r="BB33" s="1"/>
      <c r="BC33" s="1"/>
      <c r="BD33" s="1"/>
      <c r="BE33" s="1"/>
      <c r="BF33" s="1"/>
      <c r="BG33" s="1"/>
      <c r="BH33" s="1"/>
      <c r="BI33" s="1"/>
      <c r="BJ33" s="1"/>
      <c r="BK33" s="1"/>
      <c r="BL33" s="1"/>
      <c r="BM33" s="1"/>
      <c r="BN33" s="1"/>
      <c r="BO33" s="1"/>
      <c r="BP33" s="1"/>
      <c r="BQ33" s="1"/>
      <c r="BR33" s="1"/>
      <c r="BS33" s="1"/>
    </row>
    <row r="34" spans="1:72" x14ac:dyDescent="0.25">
      <c r="A34" s="1"/>
      <c r="B34" s="16">
        <v>75</v>
      </c>
      <c r="C34" s="7">
        <f>C33/B48</f>
        <v>5.3707904299583902</v>
      </c>
      <c r="D34" s="6">
        <f t="shared" si="41"/>
        <v>0.12437018030513172</v>
      </c>
      <c r="E34" s="21">
        <v>2.3156774021825921E-2</v>
      </c>
      <c r="F34" s="8"/>
      <c r="G34" s="8"/>
      <c r="H34" s="8"/>
      <c r="I34" s="8"/>
      <c r="J34" s="8"/>
      <c r="K34" s="1"/>
      <c r="L34" s="1"/>
      <c r="M34" s="1"/>
      <c r="N34" s="1"/>
      <c r="O34" s="1"/>
      <c r="P34" s="1"/>
      <c r="Q34" s="1"/>
      <c r="R34" s="1"/>
      <c r="S34" s="1"/>
      <c r="T34" s="1"/>
      <c r="U34" s="1">
        <f>U5/U4</f>
        <v>1.9709694142042509</v>
      </c>
      <c r="V34" s="1">
        <f>U5/U7</f>
        <v>0.73185703885753728</v>
      </c>
      <c r="W34" s="1" t="s">
        <v>96</v>
      </c>
      <c r="X34" s="1"/>
      <c r="Y34" s="1"/>
      <c r="Z34" s="1"/>
      <c r="AA34" s="1"/>
      <c r="AB34" s="1"/>
      <c r="AC34" s="1">
        <f>AC7/AC4</f>
        <v>3.2781424750790173</v>
      </c>
      <c r="AD34" s="1">
        <f>AC8/AC7</f>
        <v>1.5420841059111472</v>
      </c>
      <c r="AE34" s="1"/>
      <c r="AF34" s="1"/>
      <c r="AG34" s="1"/>
      <c r="AH34" s="1"/>
      <c r="AI34" s="1">
        <f>AI7/AI4</f>
        <v>3.4817472113619927</v>
      </c>
      <c r="AJ34" s="1">
        <f>AI8/AI7</f>
        <v>1.6675916272297604</v>
      </c>
      <c r="AK34" s="1"/>
      <c r="AL34" s="1"/>
      <c r="AM34" s="1"/>
      <c r="AN34" s="1"/>
      <c r="AO34" s="1">
        <f>AO7/AO4</f>
        <v>2.4188346363108875</v>
      </c>
      <c r="AP34" s="1">
        <f>AO8/AO7</f>
        <v>1.8493066219003393</v>
      </c>
      <c r="AQ34" s="1"/>
      <c r="AR34" s="1"/>
      <c r="AS34" s="1"/>
      <c r="AT34" s="1"/>
      <c r="AU34" s="1">
        <f>AU7/AU4</f>
        <v>2.2558924891972727</v>
      </c>
      <c r="AV34" s="1">
        <f>AU8/AU7</f>
        <v>1.874354298580224</v>
      </c>
      <c r="AW34" s="1"/>
      <c r="AX34" s="1"/>
      <c r="AY34" s="1"/>
      <c r="AZ34" s="1"/>
      <c r="BA34" s="1"/>
      <c r="BB34" s="1"/>
      <c r="BC34" s="1"/>
      <c r="BD34" s="1"/>
      <c r="BE34" s="1"/>
      <c r="BF34" s="1"/>
      <c r="BG34" s="1"/>
      <c r="BH34" s="1"/>
      <c r="BI34" s="1"/>
      <c r="BJ34" s="1"/>
      <c r="BK34" s="1"/>
      <c r="BL34" s="1"/>
      <c r="BM34" s="1"/>
      <c r="BN34" s="1"/>
      <c r="BO34" s="1"/>
      <c r="BP34" s="1"/>
      <c r="BQ34" s="1"/>
      <c r="BR34" s="1"/>
      <c r="BS34" s="1"/>
    </row>
    <row r="35" spans="1:72" x14ac:dyDescent="0.25">
      <c r="A35" s="1"/>
      <c r="B35" s="16">
        <v>100</v>
      </c>
      <c r="C35" s="7">
        <f>C34/B49</f>
        <v>5.3350518723994442</v>
      </c>
      <c r="D35" s="6">
        <f t="shared" si="41"/>
        <v>8.8631622746185829E-2</v>
      </c>
      <c r="E35" s="21">
        <v>1.6613076098606645E-2</v>
      </c>
      <c r="F35" s="8"/>
      <c r="G35" s="8"/>
      <c r="H35" s="8"/>
      <c r="I35" s="8"/>
      <c r="J35" s="8"/>
      <c r="K35" s="1"/>
      <c r="L35" s="1"/>
      <c r="M35" s="1"/>
      <c r="N35" s="1"/>
      <c r="O35" s="1"/>
      <c r="P35" s="1"/>
      <c r="Q35" s="1"/>
      <c r="R35" s="1"/>
      <c r="S35" s="1"/>
      <c r="T35" s="1"/>
      <c r="U35" s="1">
        <f>U6/U4</f>
        <v>2.8175841542584199</v>
      </c>
      <c r="V35" s="1">
        <f>U6/U7</f>
        <v>1.046220596325192</v>
      </c>
      <c r="W35" s="1" t="s">
        <v>97</v>
      </c>
      <c r="X35" s="1"/>
      <c r="Y35" s="1"/>
      <c r="Z35" s="1"/>
      <c r="AA35" s="1"/>
      <c r="AB35" s="1"/>
      <c r="AC35" s="1">
        <f>AC8/AC4</f>
        <v>5.0551714077315815</v>
      </c>
      <c r="AD35" s="1"/>
      <c r="AE35" s="1"/>
      <c r="AF35" s="1"/>
      <c r="AG35" s="1"/>
      <c r="AH35" s="1"/>
      <c r="AI35" s="1">
        <f>AI8/AI4</f>
        <v>5.8061324977978259</v>
      </c>
      <c r="AJ35" s="1"/>
      <c r="AK35" s="1"/>
      <c r="AL35" s="1"/>
      <c r="AM35" s="1"/>
      <c r="AN35" s="1"/>
      <c r="AO35" s="1">
        <f>AO8/AO4</f>
        <v>4.4731669102116225</v>
      </c>
      <c r="AP35" s="1"/>
      <c r="AQ35" s="1"/>
      <c r="AR35" s="1"/>
      <c r="AS35" s="1"/>
      <c r="AT35" s="1"/>
      <c r="AU35" s="1">
        <f>AU8/AU4</f>
        <v>4.2283417842617501</v>
      </c>
      <c r="AV35" s="1"/>
      <c r="AW35" s="1"/>
      <c r="AX35" s="1"/>
      <c r="AY35" s="1"/>
      <c r="AZ35" s="1"/>
      <c r="BA35" s="1"/>
      <c r="BB35" s="1"/>
      <c r="BC35" s="1"/>
      <c r="BD35" s="1"/>
      <c r="BE35" s="1"/>
      <c r="BF35" s="1"/>
      <c r="BG35" s="1"/>
      <c r="BH35" s="1"/>
      <c r="BI35" s="1"/>
      <c r="BJ35" s="1"/>
      <c r="BK35" s="1"/>
      <c r="BL35" s="1"/>
      <c r="BM35" s="1"/>
      <c r="BN35" s="1"/>
      <c r="BO35" s="1"/>
      <c r="BP35" s="1"/>
      <c r="BQ35" s="1"/>
      <c r="BR35" s="1"/>
      <c r="BS35" s="1"/>
    </row>
    <row r="36" spans="1:72" x14ac:dyDescent="0.25">
      <c r="A36" s="1"/>
      <c r="B36" s="1"/>
      <c r="C36" s="1"/>
      <c r="D36" s="1"/>
      <c r="E36" s="1"/>
      <c r="F36" s="1"/>
      <c r="G36" s="1"/>
      <c r="H36" s="1"/>
      <c r="I36" s="1"/>
      <c r="J36" s="1"/>
      <c r="K36" s="1"/>
      <c r="L36" s="1"/>
      <c r="M36" s="1"/>
      <c r="N36" s="1"/>
      <c r="O36" s="1"/>
      <c r="P36" s="1"/>
      <c r="Q36" s="1"/>
      <c r="R36" s="1"/>
      <c r="S36" s="1"/>
      <c r="T36" s="1"/>
      <c r="U36" s="1">
        <f>U7/U4</f>
        <v>2.6931071364443326</v>
      </c>
      <c r="V36" s="1">
        <f>U8/U7</f>
        <v>1.7929686353607945</v>
      </c>
      <c r="W36" s="1" t="s">
        <v>98</v>
      </c>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x14ac:dyDescent="0.25">
      <c r="A37" s="1"/>
      <c r="B37" s="1"/>
      <c r="C37" s="1"/>
      <c r="D37" s="1"/>
      <c r="E37" s="1"/>
      <c r="F37" s="1"/>
      <c r="G37" s="1"/>
      <c r="H37" s="1"/>
      <c r="I37" s="1"/>
      <c r="J37" s="1"/>
      <c r="K37" s="1"/>
      <c r="L37" s="1"/>
      <c r="M37" s="1"/>
      <c r="N37" s="1"/>
      <c r="O37" s="1"/>
      <c r="P37" s="1"/>
      <c r="Q37" s="1"/>
      <c r="R37" s="1"/>
      <c r="S37" s="1"/>
      <c r="T37" s="1"/>
      <c r="U37" s="1">
        <f>U8/U4</f>
        <v>4.8286566273110125</v>
      </c>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x14ac:dyDescent="0.25">
      <c r="A40" s="1"/>
      <c r="B40" s="1"/>
      <c r="C40" s="26"/>
      <c r="D40" s="26"/>
      <c r="E40" s="26"/>
      <c r="F40" s="26"/>
      <c r="G40" s="26"/>
      <c r="H40" s="26"/>
      <c r="I40" s="26"/>
      <c r="J40" s="26"/>
      <c r="K40" s="26"/>
      <c r="L40" s="26"/>
      <c r="M40" s="26"/>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x14ac:dyDescent="0.25">
      <c r="B41" s="26"/>
      <c r="C41" s="26"/>
      <c r="D41" s="26"/>
      <c r="E41" s="26"/>
      <c r="F41" s="26"/>
      <c r="G41" s="26"/>
      <c r="H41" s="26"/>
      <c r="I41" s="26"/>
      <c r="J41" s="26"/>
      <c r="K41" s="26"/>
      <c r="L41" s="26"/>
      <c r="M41" s="26"/>
      <c r="R41" s="1"/>
      <c r="S41" s="1"/>
      <c r="T41" s="1"/>
      <c r="Y41" s="1"/>
      <c r="Z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x14ac:dyDescent="0.25">
      <c r="B42" s="26"/>
      <c r="C42" s="26"/>
      <c r="D42" s="26"/>
      <c r="E42" s="26"/>
      <c r="F42" s="26"/>
      <c r="G42" s="26"/>
      <c r="H42" s="26"/>
      <c r="I42" s="26"/>
      <c r="J42" s="26"/>
      <c r="K42" s="26"/>
      <c r="L42" s="26"/>
      <c r="M42" s="26"/>
      <c r="R42" s="1"/>
      <c r="S42" s="1"/>
      <c r="T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x14ac:dyDescent="0.25">
      <c r="B43" s="26"/>
      <c r="C43" s="26"/>
      <c r="D43" s="26"/>
      <c r="E43" s="26"/>
      <c r="F43" s="26"/>
      <c r="G43" s="26"/>
      <c r="H43" s="26"/>
      <c r="I43" s="26"/>
      <c r="J43" s="26"/>
      <c r="K43" s="26"/>
      <c r="L43" s="26"/>
      <c r="M43" s="26"/>
      <c r="R43" s="1"/>
      <c r="S43" s="1"/>
      <c r="T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x14ac:dyDescent="0.25">
      <c r="B44" s="26" t="s">
        <v>9</v>
      </c>
      <c r="C44" s="26"/>
      <c r="D44" s="26"/>
      <c r="E44" s="26"/>
      <c r="F44" s="26" t="s">
        <v>10</v>
      </c>
      <c r="G44" s="26"/>
      <c r="H44" s="26" t="s">
        <v>11</v>
      </c>
      <c r="I44" s="26"/>
      <c r="J44" s="26"/>
      <c r="K44" s="26">
        <f>B45/3.68</f>
        <v>0.84157608695652153</v>
      </c>
      <c r="L44" s="26" t="s">
        <v>19</v>
      </c>
      <c r="M44" s="26"/>
      <c r="R44" s="1"/>
      <c r="S44" s="1"/>
      <c r="T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x14ac:dyDescent="0.25">
      <c r="A45" s="1"/>
      <c r="B45" s="27">
        <f>C23-C15</f>
        <v>3.0969999999999995</v>
      </c>
      <c r="C45" s="26" t="s">
        <v>88</v>
      </c>
      <c r="D45" s="26"/>
      <c r="E45" s="26"/>
      <c r="F45" s="26"/>
      <c r="G45" s="26"/>
      <c r="H45" s="26"/>
      <c r="I45" s="26"/>
      <c r="J45" s="26"/>
      <c r="K45" s="26"/>
      <c r="L45" s="26" t="s">
        <v>19</v>
      </c>
      <c r="M45" s="26"/>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row>
    <row r="46" spans="1:72" x14ac:dyDescent="0.25">
      <c r="A46" s="1"/>
      <c r="B46" s="26">
        <f>C23/C24</f>
        <v>1.8285569363428862</v>
      </c>
      <c r="C46" s="59" t="s">
        <v>89</v>
      </c>
      <c r="D46" s="26"/>
      <c r="E46" s="26"/>
      <c r="F46" s="26">
        <f>L15/L16</f>
        <v>2.152574220217963</v>
      </c>
      <c r="G46" s="26"/>
      <c r="H46" s="26">
        <f>(F46+B46)/2</f>
        <v>1.9905655782804246</v>
      </c>
      <c r="I46" s="59" t="s">
        <v>89</v>
      </c>
      <c r="J46" s="26"/>
      <c r="K46" s="26"/>
      <c r="L46" s="26"/>
      <c r="M46" s="26"/>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x14ac:dyDescent="0.25">
      <c r="A47" s="1"/>
      <c r="B47" s="26">
        <f>C24/C25</f>
        <v>1.0370857443450816</v>
      </c>
      <c r="C47" s="59" t="s">
        <v>90</v>
      </c>
      <c r="D47" s="26"/>
      <c r="E47" s="26"/>
      <c r="F47" s="26">
        <f>L16/L17</f>
        <v>1.2057091073855914</v>
      </c>
      <c r="G47" s="26"/>
      <c r="H47" s="26">
        <f t="shared" ref="H47:H49" si="42">(F47+B47)/2</f>
        <v>1.1213974258653365</v>
      </c>
      <c r="I47" s="59" t="s">
        <v>90</v>
      </c>
      <c r="J47" s="26"/>
      <c r="K47" s="26"/>
      <c r="L47" s="26"/>
      <c r="M47" s="26"/>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x14ac:dyDescent="0.25">
      <c r="A48" s="1"/>
      <c r="B48" s="26">
        <f>C25/C26</f>
        <v>1.0119776417354271</v>
      </c>
      <c r="C48" s="59" t="s">
        <v>91</v>
      </c>
      <c r="D48" s="26"/>
      <c r="E48" s="26"/>
      <c r="F48" s="26">
        <f>L17/L18</f>
        <v>1.07763671875</v>
      </c>
      <c r="G48" s="26"/>
      <c r="H48" s="26">
        <f t="shared" si="42"/>
        <v>1.0448071802427137</v>
      </c>
      <c r="I48" s="59" t="s">
        <v>91</v>
      </c>
      <c r="J48" s="26"/>
      <c r="K48" s="26"/>
      <c r="L48" s="26"/>
      <c r="M48" s="26"/>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x14ac:dyDescent="0.25">
      <c r="A49" s="1"/>
      <c r="B49" s="26">
        <f>C26/C27</f>
        <v>1.0066988210075027</v>
      </c>
      <c r="C49" s="59" t="s">
        <v>92</v>
      </c>
      <c r="D49" s="26"/>
      <c r="E49" s="26"/>
      <c r="F49" s="26">
        <f>L18/L19</f>
        <v>1.0343434343434343</v>
      </c>
      <c r="G49" s="26"/>
      <c r="H49" s="26">
        <f t="shared" si="42"/>
        <v>1.0205211276754684</v>
      </c>
      <c r="I49" s="59" t="s">
        <v>92</v>
      </c>
      <c r="J49" s="26"/>
      <c r="K49" s="26"/>
      <c r="L49" s="26"/>
      <c r="M49" s="26"/>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x14ac:dyDescent="0.25">
      <c r="A50" s="1"/>
      <c r="B50" s="26"/>
      <c r="C50" s="26"/>
      <c r="D50" s="26"/>
      <c r="E50" s="26"/>
      <c r="F50" s="26"/>
      <c r="G50" s="26"/>
      <c r="H50" s="26"/>
      <c r="I50" s="26"/>
      <c r="J50" s="26"/>
      <c r="K50" s="26"/>
      <c r="L50" s="26"/>
      <c r="M50" s="26"/>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x14ac:dyDescent="0.25">
      <c r="A51" s="1"/>
      <c r="B51" s="26"/>
      <c r="C51" s="26"/>
      <c r="D51" s="26"/>
      <c r="E51" s="26"/>
      <c r="F51" s="26"/>
      <c r="G51" s="23"/>
      <c r="H51" s="23"/>
      <c r="I51" s="23"/>
      <c r="J51" s="23"/>
      <c r="K51" s="23"/>
      <c r="L51" s="23"/>
      <c r="M51" s="23"/>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row>
    <row r="56" spans="1:7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x14ac:dyDescent="0.25">
      <c r="BN57" s="1"/>
      <c r="BO57" s="1"/>
      <c r="BP57" s="1"/>
      <c r="BQ57" s="1"/>
      <c r="BR57" s="1"/>
      <c r="BS57" s="1"/>
      <c r="BT57" s="1"/>
    </row>
  </sheetData>
  <mergeCells count="3">
    <mergeCell ref="X3:X8"/>
    <mergeCell ref="K21:N21"/>
    <mergeCell ref="O22:O27"/>
  </mergeCells>
  <pageMargins left="0.7" right="0.7" top="0.75" bottom="0.75" header="0.3" footer="0.3"/>
  <pageSetup paperSize="9" orientation="portrait" r:id="rId1"/>
  <headerFooter>
    <oddFooter>&amp;C&amp;1#&amp;"Calibri"&amp;12&amp;K008000Internal Use</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ADMD Calc</vt:lpstr>
      <vt:lpstr>Variables Calc</vt:lpstr>
      <vt:lpstr>Batt.</vt:lpstr>
      <vt:lpstr>Curr Lim.</vt:lpstr>
      <vt:lpstr>HPC5N</vt:lpstr>
      <vt:lpstr>HPC5PC</vt:lpstr>
      <vt:lpstr>HPC8N</vt:lpstr>
      <vt:lpstr>HPC8PC</vt:lpstr>
      <vt:lpstr>HPC16N</vt:lpstr>
      <vt:lpstr>HPC16PC</vt:lpstr>
      <vt:lpstr>HPBatt8KW</vt:lpstr>
      <vt:lpstr>HPBatt16KW</vt:lpstr>
      <vt:lpstr>SPEN ADMD Calculator</vt:lpstr>
      <vt:lpstr>Assumptions</vt:lpstr>
      <vt:lpstr>User Guide</vt:lpstr>
      <vt:lpstr>Graphs</vt:lpstr>
      <vt:lpstr>ASHP</vt:lpstr>
      <vt:lpstr>G&amp;WSHP</vt:lpstr>
      <vt:lpstr>HybridHP</vt:lpstr>
      <vt:lpstr>Data</vt:lpstr>
      <vt:lpstr>HP Variables Calc New</vt:lpstr>
    </vt:vector>
  </TitlesOfParts>
  <Company>Iberdrola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Haynes, Jack</dc:creator>
  <cp:lastModifiedBy>Haynes, Jack</cp:lastModifiedBy>
  <dcterms:created xsi:type="dcterms:W3CDTF">2020-03-10T10:56:55Z</dcterms:created>
  <dcterms:modified xsi:type="dcterms:W3CDTF">2021-07-01T09:20:49Z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19c027e-33b7-45fc-a572-8ffa5d09ec36_Enabled">
    <vt:lpwstr>true</vt:lpwstr>
  </property>
  <property fmtid="{D5CDD505-2E9C-101B-9397-08002B2CF9AE}" pid="3" name="MSIP_Label_019c027e-33b7-45fc-a572-8ffa5d09ec36_SetDate">
    <vt:lpwstr>2021-07-01T09:20:49Z</vt:lpwstr>
  </property>
  <property fmtid="{D5CDD505-2E9C-101B-9397-08002B2CF9AE}" pid="4" name="MSIP_Label_019c027e-33b7-45fc-a572-8ffa5d09ec36_Method">
    <vt:lpwstr>Standard</vt:lpwstr>
  </property>
  <property fmtid="{D5CDD505-2E9C-101B-9397-08002B2CF9AE}" pid="5" name="MSIP_Label_019c027e-33b7-45fc-a572-8ffa5d09ec36_Name">
    <vt:lpwstr>Internal Use</vt:lpwstr>
  </property>
  <property fmtid="{D5CDD505-2E9C-101B-9397-08002B2CF9AE}" pid="6" name="MSIP_Label_019c027e-33b7-45fc-a572-8ffa5d09ec36_SiteId">
    <vt:lpwstr>031a09bc-a2bf-44df-888e-4e09355b7a24</vt:lpwstr>
  </property>
  <property fmtid="{D5CDD505-2E9C-101B-9397-08002B2CF9AE}" pid="7" name="MSIP_Label_019c027e-33b7-45fc-a572-8ffa5d09ec36_ActionId">
    <vt:lpwstr>2e9386a9-d92e-4ced-a7e5-b8d866796578</vt:lpwstr>
  </property>
  <property fmtid="{D5CDD505-2E9C-101B-9397-08002B2CF9AE}" pid="8" name="MSIP_Label_019c027e-33b7-45fc-a572-8ffa5d09ec36_ContentBits">
    <vt:lpwstr>2</vt:lpwstr>
  </property>
</Properties>
</file>