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45" windowHeight="7755" tabRatio="961" firstSheet="1" activeTab="4"/>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Totex'!$A$1:$N$167</definedName>
    <definedName name="_xlnm.Print_Area" localSheetId="8">'R5 - Output Incentives'!$A$1:$L$114</definedName>
    <definedName name="_xlnm.Print_Area" localSheetId="9">'R6 - Innovation'!$A$1:$L$28</definedName>
    <definedName name="_xlnm.Print_Area" localSheetId="10">'R7 - Financing'!$A$1:$L$85</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0" i="1" l="1"/>
  <c r="M60" i="1"/>
  <c r="N59" i="1"/>
  <c r="M59" i="1"/>
  <c r="M40" i="1"/>
  <c r="N40" i="1"/>
  <c r="N21" i="1"/>
  <c r="M21" i="1"/>
  <c r="K40" i="1" l="1"/>
  <c r="J40" i="1"/>
  <c r="I40" i="1"/>
  <c r="H40" i="1"/>
  <c r="G40" i="1"/>
  <c r="F40" i="1"/>
  <c r="E40" i="1"/>
  <c r="D40" i="1"/>
  <c r="K21" i="1"/>
  <c r="J21" i="1"/>
  <c r="I21" i="1"/>
  <c r="H21" i="1"/>
  <c r="G21" i="1"/>
  <c r="F21" i="1"/>
  <c r="E21" i="1"/>
  <c r="D21" i="1"/>
  <c r="K60" i="1"/>
  <c r="J60" i="1"/>
  <c r="I60" i="1"/>
  <c r="H60" i="1"/>
  <c r="G60" i="1"/>
  <c r="F60" i="1"/>
  <c r="E60" i="1"/>
  <c r="K59" i="1"/>
  <c r="J59" i="1"/>
  <c r="I59" i="1"/>
  <c r="H59" i="1"/>
  <c r="G59" i="1"/>
  <c r="F59" i="1"/>
  <c r="E59" i="1"/>
  <c r="D60" i="1"/>
  <c r="D59" i="1"/>
  <c r="J9" i="3" l="1"/>
  <c r="K9" i="3" s="1"/>
  <c r="J11" i="3"/>
  <c r="K11" i="3" s="1"/>
  <c r="C26" i="2" l="1"/>
  <c r="M26" i="2" l="1"/>
  <c r="K30" i="2" l="1"/>
  <c r="J30" i="2"/>
  <c r="I30" i="2"/>
  <c r="H30" i="2"/>
  <c r="G30" i="2"/>
  <c r="F30" i="2"/>
  <c r="E30" i="2"/>
  <c r="D30" i="2"/>
  <c r="M28" i="2"/>
  <c r="M29" i="2"/>
  <c r="B3" i="1" l="1"/>
  <c r="B3" i="11" l="1"/>
  <c r="B3" i="3"/>
  <c r="B3" i="17"/>
  <c r="B3" i="27"/>
  <c r="K18" i="15" l="1"/>
  <c r="K23" i="15" s="1"/>
  <c r="J18" i="15"/>
  <c r="J23" i="15" s="1"/>
  <c r="I18" i="15"/>
  <c r="I23" i="15" s="1"/>
  <c r="H18" i="15"/>
  <c r="H23" i="15" s="1"/>
  <c r="G18" i="15"/>
  <c r="G23" i="15" s="1"/>
  <c r="F18" i="15"/>
  <c r="F23" i="15" s="1"/>
  <c r="E18" i="15"/>
  <c r="E23" i="15" s="1"/>
  <c r="D18" i="15"/>
  <c r="D23" i="15" s="1"/>
  <c r="K17" i="3" l="1"/>
  <c r="J17" i="3"/>
  <c r="I17" i="3"/>
  <c r="H17" i="3"/>
  <c r="G17" i="3"/>
  <c r="F17" i="3"/>
  <c r="E17" i="3"/>
  <c r="D17" i="3" l="1"/>
  <c r="H102" i="5"/>
  <c r="E54" i="17" l="1"/>
  <c r="I54" i="17"/>
  <c r="F54" i="17"/>
  <c r="K54" i="17"/>
  <c r="D54" i="17"/>
  <c r="J54" i="17"/>
  <c r="G54" i="17"/>
  <c r="H54" i="17"/>
  <c r="M54" i="17" l="1"/>
  <c r="K12" i="3" l="1"/>
  <c r="J12" i="3"/>
  <c r="I12" i="3"/>
  <c r="H12" i="3"/>
  <c r="G12" i="3"/>
  <c r="F12" i="3"/>
  <c r="E12" i="3"/>
  <c r="D12" i="3"/>
  <c r="E102" i="5" l="1"/>
  <c r="F102" i="5"/>
  <c r="G102" i="5"/>
  <c r="I102" i="5"/>
  <c r="D102" i="5"/>
  <c r="A100" i="5"/>
  <c r="A111" i="5" s="1"/>
  <c r="A97" i="5"/>
  <c r="A110" i="5" s="1"/>
  <c r="J18" i="5"/>
  <c r="K18" i="5"/>
  <c r="H73" i="5"/>
  <c r="D73" i="5"/>
  <c r="K73" i="5"/>
  <c r="A69" i="5"/>
  <c r="E69" i="5" s="1"/>
  <c r="M16" i="5"/>
  <c r="M17" i="5"/>
  <c r="A44" i="5"/>
  <c r="A45" i="5"/>
  <c r="J69" i="5" l="1"/>
  <c r="F69" i="5"/>
  <c r="K69" i="5"/>
  <c r="H69" i="5"/>
  <c r="D69" i="5"/>
  <c r="G69" i="5"/>
  <c r="I69" i="5"/>
  <c r="E73" i="5"/>
  <c r="I73" i="5"/>
  <c r="F73" i="5"/>
  <c r="J73" i="5"/>
  <c r="G73" i="5"/>
  <c r="M73" i="5" l="1"/>
  <c r="M69" i="5"/>
  <c r="E21" i="20" l="1"/>
  <c r="F21" i="20"/>
  <c r="G21" i="20"/>
  <c r="H21" i="20"/>
  <c r="I21" i="20"/>
  <c r="J21" i="20"/>
  <c r="K21" i="20"/>
  <c r="D21" i="20"/>
  <c r="F153" i="28" l="1"/>
  <c r="F152" i="28"/>
  <c r="E182" i="28"/>
  <c r="F155" i="28" s="1"/>
  <c r="B182" i="28"/>
  <c r="F154" i="28" s="1"/>
  <c r="E192" i="28"/>
  <c r="F157" i="28" s="1"/>
  <c r="B192" i="28"/>
  <c r="F156" i="28" s="1"/>
  <c r="E202" i="28"/>
  <c r="F159" i="28" s="1"/>
  <c r="B202" i="28"/>
  <c r="F158" i="28" s="1"/>
  <c r="K46" i="15" l="1"/>
  <c r="J46" i="15"/>
  <c r="I46" i="15"/>
  <c r="H46" i="15"/>
  <c r="G46" i="15"/>
  <c r="F46" i="15"/>
  <c r="E46" i="15"/>
  <c r="D46" i="15"/>
  <c r="J43" i="28" l="1"/>
  <c r="G43" i="28"/>
  <c r="H43" i="28"/>
  <c r="I43" i="28"/>
  <c r="K62" i="29" l="1"/>
  <c r="J62" i="29"/>
  <c r="I62" i="29"/>
  <c r="H62" i="29"/>
  <c r="G62" i="29"/>
  <c r="E62" i="29"/>
  <c r="D62" i="29"/>
  <c r="K68" i="29"/>
  <c r="J68" i="29"/>
  <c r="I68" i="29"/>
  <c r="H68" i="29"/>
  <c r="G68" i="29"/>
  <c r="E68" i="29"/>
  <c r="D68" i="29"/>
  <c r="F68" i="29"/>
  <c r="F62" i="29"/>
  <c r="G70" i="29" l="1"/>
  <c r="H70" i="29"/>
  <c r="E70" i="29"/>
  <c r="I70" i="29"/>
  <c r="D70" i="29"/>
  <c r="J70" i="29"/>
  <c r="F70" i="29"/>
  <c r="K70" i="29"/>
  <c r="G74" i="29" l="1"/>
  <c r="I74" i="29"/>
  <c r="D74" i="29"/>
  <c r="K74" i="29"/>
  <c r="F74" i="29"/>
  <c r="E74" i="29"/>
  <c r="J74" i="29"/>
  <c r="H74" i="29"/>
  <c r="D118" i="28"/>
  <c r="E118" i="28" s="1"/>
  <c r="F118" i="28" s="1"/>
  <c r="G118" i="28" s="1"/>
  <c r="H118" i="28" s="1"/>
  <c r="I118" i="28" s="1"/>
  <c r="J118" i="28" s="1"/>
  <c r="K118" i="28" s="1"/>
  <c r="L118" i="28" s="1"/>
  <c r="A22" i="5" l="1"/>
  <c r="A23" i="5"/>
  <c r="A24" i="5"/>
  <c r="A25" i="5"/>
  <c r="A21" i="5"/>
  <c r="K19" i="29" l="1"/>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L72" i="28" l="1"/>
  <c r="M72" i="28" s="1"/>
  <c r="N72" i="28" s="1"/>
  <c r="O72" i="28" s="1"/>
  <c r="P72" i="28" s="1"/>
  <c r="Q72" i="28" s="1"/>
  <c r="R72" i="28" s="1"/>
  <c r="S72" i="28" s="1"/>
  <c r="T72" i="28" s="1"/>
  <c r="K28" i="10" l="1"/>
  <c r="J28" i="10"/>
  <c r="I28" i="10"/>
  <c r="H28" i="10"/>
  <c r="G28" i="10"/>
  <c r="F28" i="10"/>
  <c r="E28" i="10"/>
  <c r="D28" i="10"/>
  <c r="D24" i="10"/>
  <c r="D18" i="10"/>
  <c r="A65" i="5" l="1"/>
  <c r="A61" i="5"/>
  <c r="A57" i="5"/>
  <c r="A53" i="5"/>
  <c r="A49" i="5"/>
  <c r="A40" i="5"/>
  <c r="A41" i="5"/>
  <c r="A42" i="5"/>
  <c r="A43" i="5"/>
  <c r="A39" i="5"/>
  <c r="A85" i="5"/>
  <c r="A106" i="5" s="1"/>
  <c r="A88" i="5"/>
  <c r="A107" i="5" s="1"/>
  <c r="A91" i="5"/>
  <c r="A108" i="5" s="1"/>
  <c r="A94" i="5"/>
  <c r="A109" i="5" s="1"/>
  <c r="A82" i="5"/>
  <c r="A105" i="5" s="1"/>
  <c r="I57" i="5" l="1"/>
  <c r="E57" i="5"/>
  <c r="H57" i="5"/>
  <c r="D57" i="5"/>
  <c r="K57" i="5"/>
  <c r="G57" i="5"/>
  <c r="J57" i="5"/>
  <c r="F57" i="5"/>
  <c r="K61" i="5"/>
  <c r="J61" i="5"/>
  <c r="K49" i="5"/>
  <c r="G49" i="5"/>
  <c r="J49" i="5"/>
  <c r="F49" i="5"/>
  <c r="I49" i="5"/>
  <c r="E49" i="5"/>
  <c r="H49" i="5"/>
  <c r="D49" i="5"/>
  <c r="K65" i="5"/>
  <c r="J65" i="5"/>
  <c r="K53" i="5"/>
  <c r="J53" i="5"/>
  <c r="E19" i="19"/>
  <c r="F19" i="19"/>
  <c r="G19" i="19"/>
  <c r="H19" i="19"/>
  <c r="I19" i="19"/>
  <c r="J19" i="19"/>
  <c r="K19" i="19"/>
  <c r="D19" i="19"/>
  <c r="B88"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K8" i="27"/>
  <c r="J8" i="27"/>
  <c r="I8" i="27"/>
  <c r="H8" i="27"/>
  <c r="G8" i="27"/>
  <c r="F8" i="27"/>
  <c r="E8" i="27"/>
  <c r="H100" i="28" l="1"/>
  <c r="H99" i="28"/>
  <c r="H98" i="28"/>
  <c r="A3" i="29" l="1"/>
  <c r="A2" i="29"/>
  <c r="K78" i="15" l="1"/>
  <c r="J78" i="15"/>
  <c r="I78" i="15"/>
  <c r="H78" i="15"/>
  <c r="G78" i="15"/>
  <c r="F78" i="15"/>
  <c r="E78" i="15"/>
  <c r="K28" i="4" l="1"/>
  <c r="J28" i="4"/>
  <c r="B131" i="2" l="1"/>
  <c r="B132" i="2"/>
  <c r="B133" i="2"/>
  <c r="B134" i="2"/>
  <c r="B135" i="2"/>
  <c r="B130" i="2"/>
  <c r="B103" i="2"/>
  <c r="B104" i="2"/>
  <c r="B105" i="2"/>
  <c r="B106" i="2"/>
  <c r="B107" i="2"/>
  <c r="B102" i="2"/>
  <c r="D44" i="2"/>
  <c r="M42" i="2"/>
  <c r="H44" i="2"/>
  <c r="E44" i="2"/>
  <c r="M43" i="2"/>
  <c r="I44" i="2"/>
  <c r="J44" i="2"/>
  <c r="G44" i="2"/>
  <c r="K44" i="2"/>
  <c r="D46" i="2"/>
  <c r="E46" i="2"/>
  <c r="F46" i="2"/>
  <c r="G46" i="2"/>
  <c r="H46" i="2"/>
  <c r="I46" i="2"/>
  <c r="J46" i="2"/>
  <c r="J60" i="2" s="1"/>
  <c r="K46" i="2"/>
  <c r="M52" i="2"/>
  <c r="M53" i="2"/>
  <c r="M54" i="2"/>
  <c r="M55" i="2"/>
  <c r="M56" i="2"/>
  <c r="M57" i="2"/>
  <c r="D58" i="2"/>
  <c r="E58" i="2"/>
  <c r="F58" i="2"/>
  <c r="G58" i="2"/>
  <c r="H58" i="2"/>
  <c r="I58" i="2"/>
  <c r="J58" i="2"/>
  <c r="K58" i="2"/>
  <c r="D124" i="2"/>
  <c r="E124" i="2"/>
  <c r="F124" i="2"/>
  <c r="G124" i="2"/>
  <c r="H124" i="2"/>
  <c r="I124" i="2"/>
  <c r="J124" i="2"/>
  <c r="K124" i="2"/>
  <c r="J61" i="2" l="1"/>
  <c r="I60" i="2"/>
  <c r="I61" i="2"/>
  <c r="E61" i="2"/>
  <c r="M58" i="2"/>
  <c r="F60" i="2"/>
  <c r="G49" i="2"/>
  <c r="K61" i="2"/>
  <c r="G61" i="2"/>
  <c r="F61" i="2"/>
  <c r="E60" i="2"/>
  <c r="H61" i="2"/>
  <c r="K49" i="2"/>
  <c r="I48" i="2"/>
  <c r="I49" i="2"/>
  <c r="E48" i="2"/>
  <c r="E49" i="2"/>
  <c r="H48" i="2"/>
  <c r="H49" i="2"/>
  <c r="D48" i="2"/>
  <c r="D49" i="2"/>
  <c r="J49" i="2"/>
  <c r="J48" i="2"/>
  <c r="J64" i="2" s="1"/>
  <c r="M44" i="2"/>
  <c r="H60" i="2"/>
  <c r="D60" i="2"/>
  <c r="K48" i="2"/>
  <c r="G48" i="2"/>
  <c r="F44" i="2"/>
  <c r="D61" i="2"/>
  <c r="K60" i="2"/>
  <c r="G60" i="2"/>
  <c r="J65" i="2" l="1"/>
  <c r="J66" i="2" s="1"/>
  <c r="I64" i="2"/>
  <c r="E65" i="2"/>
  <c r="H65" i="2"/>
  <c r="I65" i="2"/>
  <c r="K65" i="2"/>
  <c r="G65" i="2"/>
  <c r="E64" i="2"/>
  <c r="M61" i="2"/>
  <c r="G64" i="2"/>
  <c r="D65" i="2"/>
  <c r="K64" i="2"/>
  <c r="D64" i="2"/>
  <c r="M60" i="2"/>
  <c r="F49" i="2"/>
  <c r="F65" i="2" s="1"/>
  <c r="F48" i="2"/>
  <c r="F64" i="2" s="1"/>
  <c r="H64" i="2"/>
  <c r="I66" i="2" l="1"/>
  <c r="E66" i="2"/>
  <c r="H66" i="2"/>
  <c r="K66" i="2"/>
  <c r="G66" i="2"/>
  <c r="M48" i="2"/>
  <c r="M65" i="2"/>
  <c r="F66" i="2"/>
  <c r="M64" i="2"/>
  <c r="D66" i="2"/>
  <c r="M49" i="2"/>
  <c r="M66" i="2" l="1"/>
  <c r="K96" i="2" l="1"/>
  <c r="J96" i="2"/>
  <c r="I96" i="2"/>
  <c r="H96" i="2"/>
  <c r="G96" i="2"/>
  <c r="F96" i="2"/>
  <c r="E96" i="2"/>
  <c r="D96"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5" i="2"/>
  <c r="M24" i="2"/>
  <c r="M23" i="2"/>
  <c r="M22" i="2"/>
  <c r="M30" i="2" l="1"/>
  <c r="K64" i="4"/>
  <c r="J64" i="4"/>
  <c r="I64" i="4"/>
  <c r="H64" i="4"/>
  <c r="G64" i="4"/>
  <c r="F64" i="4"/>
  <c r="E64" i="4"/>
  <c r="D64" i="4"/>
  <c r="K16" i="2" l="1"/>
  <c r="J16" i="2"/>
  <c r="I16" i="2"/>
  <c r="H16" i="2"/>
  <c r="G16" i="2"/>
  <c r="F16" i="2"/>
  <c r="E16" i="2"/>
  <c r="D16" i="2"/>
  <c r="C13" i="13" l="1"/>
  <c r="C33" i="28" l="1"/>
  <c r="C36" i="28" s="1"/>
  <c r="D6" i="29"/>
  <c r="D6" i="5"/>
  <c r="D87" i="5" s="1"/>
  <c r="D6" i="20"/>
  <c r="D6" i="19"/>
  <c r="D6" i="27"/>
  <c r="D6" i="17"/>
  <c r="D6" i="11"/>
  <c r="D5" i="11" s="1"/>
  <c r="D6" i="1"/>
  <c r="D6" i="10"/>
  <c r="D22" i="29" l="1"/>
  <c r="D40" i="10"/>
  <c r="D99" i="5"/>
  <c r="D96" i="5"/>
  <c r="D74" i="5"/>
  <c r="D75" i="5" s="1"/>
  <c r="D45" i="5" s="1"/>
  <c r="D70" i="5"/>
  <c r="D71" i="5" s="1"/>
  <c r="D44" i="5" s="1"/>
  <c r="D5" i="20"/>
  <c r="D93" i="5"/>
  <c r="D90" i="5"/>
  <c r="D84" i="5"/>
  <c r="D81" i="5"/>
  <c r="C32" i="28"/>
  <c r="E6" i="29"/>
  <c r="D33" i="28"/>
  <c r="D36" i="28" s="1"/>
  <c r="D5" i="29"/>
  <c r="D54" i="5"/>
  <c r="D58" i="5"/>
  <c r="D62" i="5"/>
  <c r="D50" i="5"/>
  <c r="D66" i="5"/>
  <c r="D5" i="10"/>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22" i="29" l="1"/>
  <c r="E33" i="28"/>
  <c r="E36" i="28" s="1"/>
  <c r="E5" i="29"/>
  <c r="F6" i="29"/>
  <c r="D32" i="28"/>
  <c r="F6" i="27"/>
  <c r="E5" i="27"/>
  <c r="E5" i="1"/>
  <c r="F6" i="1"/>
  <c r="E5" i="20"/>
  <c r="F6" i="20"/>
  <c r="E5" i="10"/>
  <c r="F6" i="10"/>
  <c r="F40" i="10" s="1"/>
  <c r="F6" i="17"/>
  <c r="E5" i="17"/>
  <c r="E5" i="19"/>
  <c r="F6" i="19"/>
  <c r="F6" i="11"/>
  <c r="F5" i="11" s="1"/>
  <c r="E6" i="5"/>
  <c r="D5" i="4"/>
  <c r="F6" i="3"/>
  <c r="E5" i="3"/>
  <c r="D5" i="3"/>
  <c r="D5" i="5"/>
  <c r="E6" i="15"/>
  <c r="E5" i="15" s="1"/>
  <c r="F6" i="4"/>
  <c r="F22" i="29" l="1"/>
  <c r="E99" i="5"/>
  <c r="E96" i="5"/>
  <c r="E74" i="5"/>
  <c r="E75" i="5" s="1"/>
  <c r="E45" i="5" s="1"/>
  <c r="E70" i="5"/>
  <c r="E71" i="5" s="1"/>
  <c r="E44" i="5" s="1"/>
  <c r="E93" i="5"/>
  <c r="E90" i="5"/>
  <c r="E87" i="5"/>
  <c r="E84" i="5"/>
  <c r="E81" i="5"/>
  <c r="F33" i="28"/>
  <c r="F36" i="28" s="1"/>
  <c r="E32" i="28"/>
  <c r="F5" i="29"/>
  <c r="G6" i="29"/>
  <c r="E5" i="5"/>
  <c r="E66" i="5"/>
  <c r="E62" i="5"/>
  <c r="E58" i="5"/>
  <c r="E59" i="5" s="1"/>
  <c r="E54" i="5"/>
  <c r="E50" i="5"/>
  <c r="E51" i="5" s="1"/>
  <c r="F5" i="10"/>
  <c r="G6" i="10"/>
  <c r="G40" i="10" s="1"/>
  <c r="F5" i="1"/>
  <c r="G6" i="1"/>
  <c r="G6" i="11"/>
  <c r="G5" i="11" s="1"/>
  <c r="G6" i="17"/>
  <c r="F5" i="17"/>
  <c r="F5" i="19"/>
  <c r="G6" i="19"/>
  <c r="G6" i="20"/>
  <c r="F5" i="20"/>
  <c r="G6" i="27"/>
  <c r="F5" i="27"/>
  <c r="F6" i="5"/>
  <c r="F5" i="3"/>
  <c r="G6" i="3"/>
  <c r="F6" i="15"/>
  <c r="F5" i="15" s="1"/>
  <c r="F5" i="4"/>
  <c r="G6" i="4"/>
  <c r="G5" i="4" s="1"/>
  <c r="G22" i="29" l="1"/>
  <c r="F99" i="5"/>
  <c r="F96" i="5"/>
  <c r="F70" i="5"/>
  <c r="F71" i="5" s="1"/>
  <c r="F44" i="5" s="1"/>
  <c r="F74" i="5"/>
  <c r="F75" i="5" s="1"/>
  <c r="F45" i="5" s="1"/>
  <c r="G33" i="28"/>
  <c r="G36" i="28" s="1"/>
  <c r="F93" i="5"/>
  <c r="F90" i="5"/>
  <c r="F87" i="5"/>
  <c r="F84" i="5"/>
  <c r="F81" i="5"/>
  <c r="F32" i="28"/>
  <c r="G5" i="29"/>
  <c r="H6" i="29"/>
  <c r="F50" i="5"/>
  <c r="F51" i="5" s="1"/>
  <c r="F66" i="5"/>
  <c r="F62" i="5"/>
  <c r="F58" i="5"/>
  <c r="F59" i="5" s="1"/>
  <c r="F54" i="5"/>
  <c r="G5" i="20"/>
  <c r="H6" i="20"/>
  <c r="G5" i="1"/>
  <c r="H6" i="1"/>
  <c r="H6" i="27"/>
  <c r="G5" i="27"/>
  <c r="G5" i="19"/>
  <c r="H6" i="19"/>
  <c r="H6" i="17"/>
  <c r="G5" i="17"/>
  <c r="G5" i="10"/>
  <c r="H6" i="10"/>
  <c r="H40" i="10" s="1"/>
  <c r="H6" i="11"/>
  <c r="H5" i="11" s="1"/>
  <c r="G6" i="5"/>
  <c r="F5" i="5"/>
  <c r="H6" i="3"/>
  <c r="G5" i="3"/>
  <c r="G6" i="15"/>
  <c r="G5" i="15" s="1"/>
  <c r="H6" i="4"/>
  <c r="H22" i="29" l="1"/>
  <c r="H33" i="28"/>
  <c r="H36" i="28" s="1"/>
  <c r="G99" i="5"/>
  <c r="G96" i="5"/>
  <c r="G70" i="5"/>
  <c r="G71" i="5" s="1"/>
  <c r="G44" i="5" s="1"/>
  <c r="G74" i="5"/>
  <c r="G75" i="5" s="1"/>
  <c r="G45" i="5" s="1"/>
  <c r="G32" i="28"/>
  <c r="G93" i="5"/>
  <c r="G90" i="5"/>
  <c r="G87" i="5"/>
  <c r="G84" i="5"/>
  <c r="G81" i="5"/>
  <c r="I6" i="29"/>
  <c r="I22" i="29" s="1"/>
  <c r="H5" i="29"/>
  <c r="G50" i="5"/>
  <c r="G51" i="5" s="1"/>
  <c r="G39" i="5" s="1"/>
  <c r="G66" i="5"/>
  <c r="G62" i="5"/>
  <c r="G58" i="5"/>
  <c r="G59" i="5" s="1"/>
  <c r="G41" i="5" s="1"/>
  <c r="G54" i="5"/>
  <c r="I6" i="11"/>
  <c r="I5" i="11" s="1"/>
  <c r="H5" i="20"/>
  <c r="I6" i="20"/>
  <c r="H5" i="10"/>
  <c r="I6" i="10"/>
  <c r="I40" i="10" s="1"/>
  <c r="I6" i="17"/>
  <c r="H5" i="17"/>
  <c r="I6" i="1"/>
  <c r="H5" i="1"/>
  <c r="H5" i="19"/>
  <c r="I6" i="19"/>
  <c r="H5" i="27"/>
  <c r="I6" i="27"/>
  <c r="H5" i="4"/>
  <c r="G5" i="5"/>
  <c r="H6" i="5"/>
  <c r="I6" i="3"/>
  <c r="H5" i="3"/>
  <c r="H6" i="15"/>
  <c r="H5" i="15" s="1"/>
  <c r="I6" i="4"/>
  <c r="I5" i="4" s="1"/>
  <c r="L54" i="17" l="1"/>
  <c r="H32" i="28"/>
  <c r="I33" i="28"/>
  <c r="I36" i="28" s="1"/>
  <c r="H99" i="5"/>
  <c r="H96" i="5"/>
  <c r="H74" i="5"/>
  <c r="H75" i="5" s="1"/>
  <c r="H70" i="5"/>
  <c r="H71" i="5" s="1"/>
  <c r="H93" i="5"/>
  <c r="H90" i="5"/>
  <c r="H87" i="5"/>
  <c r="H84" i="5"/>
  <c r="H81" i="5"/>
  <c r="J6" i="29"/>
  <c r="I5" i="29"/>
  <c r="G53" i="1"/>
  <c r="G51" i="1"/>
  <c r="H50" i="5"/>
  <c r="H51" i="5" s="1"/>
  <c r="H39" i="5" s="1"/>
  <c r="H66" i="5"/>
  <c r="H62" i="5"/>
  <c r="H58" i="5"/>
  <c r="H59" i="5" s="1"/>
  <c r="H41" i="5" s="1"/>
  <c r="H54" i="5"/>
  <c r="J6" i="1"/>
  <c r="I5" i="1"/>
  <c r="J6" i="19"/>
  <c r="I5" i="19"/>
  <c r="I5" i="10"/>
  <c r="J6" i="10"/>
  <c r="J40" i="10" s="1"/>
  <c r="J6" i="11"/>
  <c r="J5" i="11" s="1"/>
  <c r="J6" i="27"/>
  <c r="I5" i="27"/>
  <c r="J6" i="17"/>
  <c r="I5" i="17"/>
  <c r="J6" i="20"/>
  <c r="I5" i="20"/>
  <c r="H5" i="5"/>
  <c r="I6" i="5"/>
  <c r="L73" i="5" s="1"/>
  <c r="J6" i="3"/>
  <c r="I5" i="3"/>
  <c r="I6" i="15"/>
  <c r="I5" i="15" s="1"/>
  <c r="J6" i="4"/>
  <c r="I32" i="28" l="1"/>
  <c r="J33" i="28"/>
  <c r="J36" i="28" s="1"/>
  <c r="J5" i="29"/>
  <c r="L69" i="5"/>
  <c r="L17" i="5"/>
  <c r="H45" i="5"/>
  <c r="H44" i="5"/>
  <c r="I99" i="5"/>
  <c r="I96" i="5"/>
  <c r="I70" i="5"/>
  <c r="I71" i="5" s="1"/>
  <c r="I44" i="5" s="1"/>
  <c r="I74" i="5"/>
  <c r="I75" i="5" s="1"/>
  <c r="I45" i="5" s="1"/>
  <c r="I87" i="5"/>
  <c r="I84" i="5"/>
  <c r="I81" i="5"/>
  <c r="I93" i="5"/>
  <c r="I90" i="5"/>
  <c r="K6" i="29"/>
  <c r="J32" i="28"/>
  <c r="H51" i="1"/>
  <c r="H53" i="1"/>
  <c r="I66" i="5"/>
  <c r="I62" i="5"/>
  <c r="I58" i="5"/>
  <c r="I59" i="5" s="1"/>
  <c r="I41" i="5" s="1"/>
  <c r="I54" i="5"/>
  <c r="I50" i="5"/>
  <c r="I51" i="5" s="1"/>
  <c r="I39" i="5" s="1"/>
  <c r="K6" i="20"/>
  <c r="J5" i="20"/>
  <c r="K6" i="27"/>
  <c r="J5" i="27"/>
  <c r="K6" i="19"/>
  <c r="K5" i="19" s="1"/>
  <c r="J5" i="19"/>
  <c r="J5" i="10"/>
  <c r="K6" i="10"/>
  <c r="K40" i="10" s="1"/>
  <c r="K6" i="17"/>
  <c r="J5" i="17"/>
  <c r="K6" i="11"/>
  <c r="K5" i="11" s="1"/>
  <c r="K6" i="1"/>
  <c r="J5" i="1"/>
  <c r="J6" i="5"/>
  <c r="J5" i="4"/>
  <c r="I5" i="5"/>
  <c r="J5" i="3"/>
  <c r="K6" i="3"/>
  <c r="J6" i="15"/>
  <c r="J5" i="15" s="1"/>
  <c r="J82" i="15" s="1"/>
  <c r="K6" i="4"/>
  <c r="K5" i="4" s="1"/>
  <c r="K5" i="1" l="1"/>
  <c r="L45" i="5"/>
  <c r="L44" i="5"/>
  <c r="L71" i="5"/>
  <c r="L75" i="5"/>
  <c r="J99" i="5"/>
  <c r="J96" i="5"/>
  <c r="J70" i="5"/>
  <c r="J71" i="5" s="1"/>
  <c r="J44" i="5" s="1"/>
  <c r="J74" i="5"/>
  <c r="J75" i="5" s="1"/>
  <c r="J45" i="5" s="1"/>
  <c r="J50" i="15"/>
  <c r="J90" i="5"/>
  <c r="J87" i="5"/>
  <c r="J84" i="5"/>
  <c r="J81" i="5"/>
  <c r="J93" i="5"/>
  <c r="K5" i="29"/>
  <c r="K5" i="27"/>
  <c r="K5" i="17"/>
  <c r="K5" i="20"/>
  <c r="I51" i="1"/>
  <c r="I53" i="1"/>
  <c r="K5" i="10"/>
  <c r="J5" i="5"/>
  <c r="J66" i="5"/>
  <c r="J67" i="5" s="1"/>
  <c r="J43" i="5" s="1"/>
  <c r="J62" i="5"/>
  <c r="J63" i="5" s="1"/>
  <c r="J42" i="5" s="1"/>
  <c r="J58" i="5"/>
  <c r="J59" i="5" s="1"/>
  <c r="J41" i="5" s="1"/>
  <c r="J54" i="5"/>
  <c r="J55" i="5" s="1"/>
  <c r="J40" i="5" s="1"/>
  <c r="J50" i="5"/>
  <c r="J51" i="5" s="1"/>
  <c r="J39" i="5" s="1"/>
  <c r="K6" i="5"/>
  <c r="K5" i="3"/>
  <c r="K6" i="15"/>
  <c r="K5" i="15" s="1"/>
  <c r="K82" i="15" s="1"/>
  <c r="J46" i="5" l="1"/>
  <c r="K74" i="5"/>
  <c r="K75" i="5" s="1"/>
  <c r="K99" i="5"/>
  <c r="K96" i="5"/>
  <c r="L16" i="5"/>
  <c r="K70" i="5"/>
  <c r="K71" i="5" s="1"/>
  <c r="K93" i="5"/>
  <c r="K90" i="5"/>
  <c r="K87" i="5"/>
  <c r="K84" i="5"/>
  <c r="K81" i="5"/>
  <c r="K50" i="15"/>
  <c r="J55" i="1"/>
  <c r="J52" i="1"/>
  <c r="J51" i="1"/>
  <c r="J53" i="1"/>
  <c r="J54" i="1"/>
  <c r="K50" i="5"/>
  <c r="K51" i="5" s="1"/>
  <c r="K39" i="5" s="1"/>
  <c r="K66" i="5"/>
  <c r="K67" i="5" s="1"/>
  <c r="K43" i="5" s="1"/>
  <c r="K62" i="5"/>
  <c r="K63" i="5" s="1"/>
  <c r="K42" i="5" s="1"/>
  <c r="K58" i="5"/>
  <c r="K59" i="5" s="1"/>
  <c r="K41" i="5" s="1"/>
  <c r="K54" i="5"/>
  <c r="K55" i="5" s="1"/>
  <c r="K40" i="5" s="1"/>
  <c r="K5" i="5"/>
  <c r="M71" i="5" l="1"/>
  <c r="K44" i="5"/>
  <c r="M44" i="5" s="1"/>
  <c r="M75" i="5"/>
  <c r="K45" i="5"/>
  <c r="M45" i="5" s="1"/>
  <c r="K51" i="1"/>
  <c r="K53" i="1"/>
  <c r="K54" i="1"/>
  <c r="K55" i="1"/>
  <c r="K52" i="1"/>
  <c r="K46" i="5" l="1"/>
  <c r="C6" i="13" l="1"/>
  <c r="D36" i="10" s="1"/>
  <c r="C14" i="13"/>
  <c r="C89" i="29" s="1"/>
  <c r="C88" i="29" l="1"/>
  <c r="C86" i="29"/>
  <c r="C31" i="10"/>
  <c r="C69" i="17"/>
  <c r="C55" i="17"/>
  <c r="C45" i="5"/>
  <c r="C44" i="5"/>
  <c r="C69" i="5"/>
  <c r="C73" i="5"/>
  <c r="C35" i="28"/>
  <c r="D34" i="10" s="1"/>
  <c r="D35" i="28"/>
  <c r="E34" i="10" s="1"/>
  <c r="E35" i="28"/>
  <c r="F34" i="10" s="1"/>
  <c r="F35" i="28"/>
  <c r="G34" i="10" s="1"/>
  <c r="G35" i="28"/>
  <c r="H34" i="10" s="1"/>
  <c r="I35" i="28"/>
  <c r="J34" i="10" s="1"/>
  <c r="H35" i="28"/>
  <c r="I34" i="10" s="1"/>
  <c r="J35" i="28"/>
  <c r="K34" i="10" s="1"/>
  <c r="C8" i="20"/>
  <c r="C16" i="5"/>
  <c r="C17" i="5"/>
  <c r="C61" i="1"/>
  <c r="C81" i="29"/>
  <c r="C62" i="1"/>
  <c r="C59" i="1"/>
  <c r="C63" i="1"/>
  <c r="C53" i="29"/>
  <c r="C60" i="1"/>
  <c r="C79" i="29"/>
  <c r="C89" i="17"/>
  <c r="C68" i="17"/>
  <c r="C87" i="17"/>
  <c r="E153" i="28"/>
  <c r="E157" i="28"/>
  <c r="E154" i="28"/>
  <c r="E158" i="28"/>
  <c r="E155" i="28"/>
  <c r="E159" i="28"/>
  <c r="E156" i="28"/>
  <c r="E152" i="28"/>
  <c r="C43" i="17"/>
  <c r="C81" i="2"/>
  <c r="B46" i="1"/>
  <c r="C28" i="3"/>
  <c r="C62" i="29"/>
  <c r="C67" i="29"/>
  <c r="C72" i="29"/>
  <c r="C61" i="29"/>
  <c r="C66" i="29"/>
  <c r="C71" i="29"/>
  <c r="C68" i="29"/>
  <c r="C73" i="29"/>
  <c r="C34" i="28"/>
  <c r="D34" i="28"/>
  <c r="E34" i="28"/>
  <c r="G34" i="28"/>
  <c r="F34" i="28"/>
  <c r="H34" i="28"/>
  <c r="I34" i="28"/>
  <c r="J28" i="3" s="1"/>
  <c r="J34" i="28"/>
  <c r="K28" i="3" s="1"/>
  <c r="B149" i="28"/>
  <c r="C74" i="29"/>
  <c r="C49" i="10"/>
  <c r="C51" i="10"/>
  <c r="C45" i="10"/>
  <c r="C29" i="10"/>
  <c r="C25" i="10"/>
  <c r="C21" i="10"/>
  <c r="C17" i="10"/>
  <c r="C28" i="10"/>
  <c r="C24" i="10"/>
  <c r="C20" i="10"/>
  <c r="C16" i="10"/>
  <c r="C27" i="10"/>
  <c r="C23" i="10"/>
  <c r="C19" i="10"/>
  <c r="C11" i="10"/>
  <c r="C26" i="10"/>
  <c r="C22" i="10"/>
  <c r="C18" i="10"/>
  <c r="C79" i="17"/>
  <c r="C19" i="19"/>
  <c r="C18" i="19"/>
  <c r="C14" i="19"/>
  <c r="B51" i="28"/>
  <c r="B40" i="2" s="1"/>
  <c r="B118" i="2" s="1"/>
  <c r="B48" i="28"/>
  <c r="C66" i="1"/>
  <c r="C51" i="1"/>
  <c r="C55" i="1"/>
  <c r="C54" i="1"/>
  <c r="C65" i="1"/>
  <c r="C52" i="1"/>
  <c r="C56" i="1"/>
  <c r="C58" i="1"/>
  <c r="C49" i="1"/>
  <c r="C53" i="1"/>
  <c r="C57" i="1"/>
  <c r="C50" i="1"/>
  <c r="C48" i="1"/>
  <c r="C83" i="29"/>
  <c r="C41" i="29"/>
  <c r="C60" i="29"/>
  <c r="C62" i="27"/>
  <c r="C63" i="27"/>
  <c r="C61" i="27"/>
  <c r="C42" i="2"/>
  <c r="C60" i="2"/>
  <c r="C64" i="2"/>
  <c r="C72" i="2"/>
  <c r="C43" i="2"/>
  <c r="C48" i="2"/>
  <c r="C53" i="2"/>
  <c r="C55" i="2"/>
  <c r="C57" i="2"/>
  <c r="C61" i="2"/>
  <c r="C65" i="2"/>
  <c r="C73" i="2"/>
  <c r="C44" i="2"/>
  <c r="C49" i="2"/>
  <c r="C66" i="2"/>
  <c r="C52" i="2"/>
  <c r="C54" i="2"/>
  <c r="C56" i="2"/>
  <c r="C58" i="2"/>
  <c r="C71" i="2"/>
  <c r="C17" i="19"/>
  <c r="C85" i="17"/>
  <c r="C78" i="17"/>
  <c r="C50" i="10"/>
  <c r="C46" i="10"/>
  <c r="C47" i="10"/>
  <c r="C79" i="2"/>
  <c r="C38" i="2"/>
  <c r="C65" i="5"/>
  <c r="C61" i="5"/>
  <c r="C57" i="5"/>
  <c r="C53" i="5"/>
  <c r="C49" i="5"/>
  <c r="C14" i="5"/>
  <c r="C13" i="5"/>
  <c r="C15" i="5"/>
  <c r="C11" i="5"/>
  <c r="C46" i="5"/>
  <c r="C43" i="5"/>
  <c r="C42" i="5"/>
  <c r="C41" i="5"/>
  <c r="C40" i="5"/>
  <c r="C39" i="5"/>
  <c r="C12" i="5"/>
  <c r="C18" i="5"/>
  <c r="C10" i="4"/>
  <c r="C12" i="4"/>
  <c r="C11" i="4"/>
  <c r="C14" i="2"/>
  <c r="C22" i="2"/>
  <c r="C27" i="2"/>
  <c r="C33" i="2"/>
  <c r="C13" i="2"/>
  <c r="C23" i="2"/>
  <c r="C28" i="2"/>
  <c r="C36" i="2"/>
  <c r="C18" i="2"/>
  <c r="C24" i="2"/>
  <c r="C30" i="2"/>
  <c r="C37" i="2"/>
  <c r="C12" i="2"/>
  <c r="C19" i="2"/>
  <c r="C25" i="2"/>
  <c r="C32" i="2"/>
  <c r="G28" i="3" l="1"/>
  <c r="G56" i="1" s="1"/>
  <c r="G61" i="5"/>
  <c r="G63" i="5" s="1"/>
  <c r="G42" i="5" s="1"/>
  <c r="G54" i="1" s="1"/>
  <c r="D28" i="3"/>
  <c r="D56" i="1" s="1"/>
  <c r="I65" i="5"/>
  <c r="I67" i="5" s="1"/>
  <c r="I43" i="5" s="1"/>
  <c r="I55" i="1" s="1"/>
  <c r="E65" i="5"/>
  <c r="E67" i="5" s="1"/>
  <c r="F65" i="5"/>
  <c r="F67" i="5" s="1"/>
  <c r="H65" i="5"/>
  <c r="H67" i="5" s="1"/>
  <c r="H43" i="5" s="1"/>
  <c r="H55" i="1" s="1"/>
  <c r="D65" i="5"/>
  <c r="D61" i="5"/>
  <c r="G65" i="5"/>
  <c r="G67" i="5" s="1"/>
  <c r="G43" i="5" s="1"/>
  <c r="G55" i="1" s="1"/>
  <c r="H28" i="3"/>
  <c r="H56" i="1" s="1"/>
  <c r="H61" i="5"/>
  <c r="H63" i="5" s="1"/>
  <c r="H42" i="5" s="1"/>
  <c r="H54" i="1" s="1"/>
  <c r="F28" i="3"/>
  <c r="F56" i="1" s="1"/>
  <c r="F61" i="5"/>
  <c r="F63" i="5" s="1"/>
  <c r="I28" i="3"/>
  <c r="I56" i="1" s="1"/>
  <c r="I61" i="5"/>
  <c r="I63" i="5" s="1"/>
  <c r="I42" i="5" s="1"/>
  <c r="I54" i="1" s="1"/>
  <c r="E28" i="3"/>
  <c r="E56" i="1" s="1"/>
  <c r="E61" i="5"/>
  <c r="E63" i="5" s="1"/>
  <c r="G41" i="17"/>
  <c r="G55" i="17" s="1"/>
  <c r="G39" i="29"/>
  <c r="K41" i="17"/>
  <c r="K55" i="17" s="1"/>
  <c r="K39" i="29"/>
  <c r="H41" i="17"/>
  <c r="H55" i="17" s="1"/>
  <c r="H39" i="29"/>
  <c r="D41" i="17"/>
  <c r="D55" i="17" s="1"/>
  <c r="D39" i="29"/>
  <c r="J41" i="17"/>
  <c r="J55" i="17" s="1"/>
  <c r="J39" i="29"/>
  <c r="F41" i="17"/>
  <c r="F55" i="17" s="1"/>
  <c r="F39" i="29"/>
  <c r="I41" i="17"/>
  <c r="I55" i="17" s="1"/>
  <c r="I39" i="29"/>
  <c r="E41" i="17"/>
  <c r="E55" i="17" s="1"/>
  <c r="E39" i="29"/>
  <c r="B159" i="28"/>
  <c r="B17" i="5" s="1"/>
  <c r="B45" i="5" s="1"/>
  <c r="B160" i="28"/>
  <c r="B158" i="28"/>
  <c r="B16" i="5" s="1"/>
  <c r="B44" i="5" s="1"/>
  <c r="B157" i="28"/>
  <c r="B15" i="5" s="1"/>
  <c r="B153" i="28"/>
  <c r="B11" i="5" s="1"/>
  <c r="B156" i="28"/>
  <c r="B14" i="5" s="1"/>
  <c r="B155" i="28"/>
  <c r="B13" i="5" s="1"/>
  <c r="B154" i="28"/>
  <c r="B12" i="5" s="1"/>
  <c r="K56" i="1"/>
  <c r="J56" i="1"/>
  <c r="E35" i="10"/>
  <c r="K35" i="10"/>
  <c r="I35" i="10"/>
  <c r="H35" i="10"/>
  <c r="F35" i="10"/>
  <c r="D35" i="10"/>
  <c r="J35" i="10"/>
  <c r="G35" i="10"/>
  <c r="K14" i="19"/>
  <c r="B10" i="2"/>
  <c r="B90" i="2" s="1"/>
  <c r="E32" i="2"/>
  <c r="E53" i="5" l="1"/>
  <c r="E55" i="5" s="1"/>
  <c r="E18" i="5"/>
  <c r="D53" i="5"/>
  <c r="D18" i="5"/>
  <c r="H53" i="5"/>
  <c r="H55" i="5" s="1"/>
  <c r="H40" i="5" s="1"/>
  <c r="H18" i="5"/>
  <c r="G18" i="5"/>
  <c r="G53" i="5"/>
  <c r="G55" i="5" s="1"/>
  <c r="G40" i="5" s="1"/>
  <c r="I53" i="5"/>
  <c r="I55" i="5" s="1"/>
  <c r="I40" i="5" s="1"/>
  <c r="I18" i="5"/>
  <c r="F18" i="5"/>
  <c r="F53" i="5"/>
  <c r="F55" i="5" s="1"/>
  <c r="M55" i="17"/>
  <c r="L55" i="17"/>
  <c r="B69" i="5"/>
  <c r="B97" i="5"/>
  <c r="B100" i="5"/>
  <c r="B73" i="5"/>
  <c r="E14" i="19"/>
  <c r="D14" i="19"/>
  <c r="G14" i="19"/>
  <c r="F14" i="19"/>
  <c r="H14" i="19"/>
  <c r="J14" i="19"/>
  <c r="I14" i="19"/>
  <c r="B41" i="5"/>
  <c r="B57" i="5"/>
  <c r="B65" i="5"/>
  <c r="B43" i="5"/>
  <c r="B42" i="5"/>
  <c r="B61" i="5"/>
  <c r="B53" i="5"/>
  <c r="B40" i="5"/>
  <c r="B49" i="5"/>
  <c r="B39" i="5"/>
  <c r="K32" i="2"/>
  <c r="J32" i="2"/>
  <c r="I32" i="2"/>
  <c r="H32" i="2"/>
  <c r="G33" i="2"/>
  <c r="F33" i="2"/>
  <c r="E33" i="2"/>
  <c r="B82" i="5"/>
  <c r="B94" i="5"/>
  <c r="B91" i="5"/>
  <c r="B88" i="5"/>
  <c r="B85" i="5"/>
  <c r="K33" i="2"/>
  <c r="J33" i="2"/>
  <c r="I33" i="2"/>
  <c r="G32" i="2"/>
  <c r="D33" i="2"/>
  <c r="H33" i="2"/>
  <c r="D32" i="2"/>
  <c r="M12" i="2"/>
  <c r="F32" i="2"/>
  <c r="G52" i="1" l="1"/>
  <c r="G46" i="5"/>
  <c r="I46" i="5"/>
  <c r="I52" i="1"/>
  <c r="H52" i="1"/>
  <c r="H46" i="5"/>
  <c r="B53" i="1"/>
  <c r="B55" i="1"/>
  <c r="B52" i="1"/>
  <c r="B54" i="1"/>
  <c r="B51" i="1"/>
  <c r="M33" i="2"/>
  <c r="M32" i="2"/>
  <c r="E48" i="15" l="1"/>
  <c r="F48" i="15"/>
  <c r="G48" i="15"/>
  <c r="H48" i="15"/>
  <c r="I48" i="15"/>
  <c r="J48" i="15"/>
  <c r="J80" i="15" s="1"/>
  <c r="K48" i="15"/>
  <c r="K80" i="15" s="1"/>
  <c r="I80" i="15" l="1"/>
  <c r="I50" i="15"/>
  <c r="H80" i="15"/>
  <c r="H50" i="15"/>
  <c r="G80" i="15"/>
  <c r="G50" i="15"/>
  <c r="E80" i="15"/>
  <c r="E50" i="15"/>
  <c r="F80" i="15"/>
  <c r="F50" i="15"/>
  <c r="G45" i="4" l="1"/>
  <c r="H45" i="4"/>
  <c r="I45" i="4"/>
  <c r="J45" i="4"/>
  <c r="K45" i="4"/>
  <c r="J66" i="4" l="1"/>
  <c r="J68" i="4" s="1"/>
  <c r="K66" i="4"/>
  <c r="K68" i="4" s="1"/>
  <c r="I66" i="4"/>
  <c r="I68" i="4" s="1"/>
  <c r="H66" i="4"/>
  <c r="H68" i="4" s="1"/>
  <c r="G66" i="4"/>
  <c r="G68" i="4" s="1"/>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46" i="29"/>
  <c r="E46" i="29"/>
  <c r="G46" i="29"/>
  <c r="H46" i="29"/>
  <c r="D46" i="29"/>
  <c r="K46" i="29"/>
  <c r="J46" i="29"/>
  <c r="F46" i="29"/>
  <c r="I61" i="17"/>
  <c r="E61" i="17"/>
  <c r="H61" i="17"/>
  <c r="D61" i="17"/>
  <c r="K61" i="17"/>
  <c r="G61" i="17"/>
  <c r="J61" i="17"/>
  <c r="F61" i="17"/>
  <c r="H42" i="10"/>
  <c r="F42" i="10"/>
  <c r="I42" i="10"/>
  <c r="D42" i="10"/>
  <c r="K42" i="10"/>
  <c r="G42" i="10"/>
  <c r="J42" i="10"/>
  <c r="E42" i="10"/>
  <c r="K41" i="10"/>
  <c r="G41" i="10"/>
  <c r="D41" i="10"/>
  <c r="F41" i="10"/>
  <c r="E41" i="10"/>
  <c r="H41" i="10"/>
  <c r="J41" i="10"/>
  <c r="I41" i="10"/>
  <c r="I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A3" i="17"/>
  <c r="D80" i="2" l="1"/>
  <c r="D79" i="2"/>
  <c r="E43" i="10"/>
  <c r="D43" i="10"/>
  <c r="I43" i="10"/>
  <c r="G43" i="10"/>
  <c r="F43" i="10"/>
  <c r="J43" i="10"/>
  <c r="K43" i="10"/>
  <c r="H43" i="10"/>
  <c r="F15" i="4"/>
  <c r="D52" i="1"/>
  <c r="F52" i="1"/>
  <c r="M40" i="5"/>
  <c r="M46" i="5" s="1"/>
  <c r="L40" i="5"/>
  <c r="L46" i="5" s="1"/>
  <c r="M55" i="5"/>
  <c r="L55" i="5"/>
  <c r="E6" i="2"/>
  <c r="D5" i="2"/>
  <c r="E79" i="2" l="1"/>
  <c r="E80" i="2"/>
  <c r="D81" i="2"/>
  <c r="D50" i="1" s="1"/>
  <c r="M52" i="1"/>
  <c r="N52" i="1"/>
  <c r="F6" i="2"/>
  <c r="E5" i="2"/>
  <c r="D23" i="29" l="1"/>
  <c r="E81" i="2"/>
  <c r="E50" i="1" s="1"/>
  <c r="F79" i="2"/>
  <c r="F80" i="2"/>
  <c r="G6" i="2"/>
  <c r="F5" i="2"/>
  <c r="A3" i="13"/>
  <c r="A2" i="13"/>
  <c r="A3" i="19"/>
  <c r="E23" i="29" l="1"/>
  <c r="F81" i="2"/>
  <c r="F50" i="1" s="1"/>
  <c r="G79" i="2"/>
  <c r="G80" i="2"/>
  <c r="H6" i="2"/>
  <c r="H80" i="2" s="1"/>
  <c r="G5" i="2"/>
  <c r="F23" i="29" l="1"/>
  <c r="G81" i="2"/>
  <c r="G50" i="1" s="1"/>
  <c r="H79" i="2"/>
  <c r="I6" i="2"/>
  <c r="H5" i="2"/>
  <c r="A3" i="15"/>
  <c r="A2" i="15"/>
  <c r="G23" i="29" l="1"/>
  <c r="I79" i="2"/>
  <c r="I80" i="2"/>
  <c r="H81" i="2"/>
  <c r="H50" i="1" s="1"/>
  <c r="J6" i="2"/>
  <c r="I5" i="2"/>
  <c r="A3" i="14"/>
  <c r="A2" i="14"/>
  <c r="A3" i="21"/>
  <c r="A2" i="21"/>
  <c r="A3" i="20"/>
  <c r="A2" i="20"/>
  <c r="A2" i="19"/>
  <c r="A3" i="11"/>
  <c r="A2" i="11"/>
  <c r="A3" i="10"/>
  <c r="A2" i="10"/>
  <c r="A2" i="17"/>
  <c r="A3" i="2"/>
  <c r="A2" i="2"/>
  <c r="A2" i="3"/>
  <c r="A3" i="5"/>
  <c r="A2" i="5"/>
  <c r="A3" i="4"/>
  <c r="A2" i="4"/>
  <c r="A3" i="1"/>
  <c r="A2" i="1"/>
  <c r="H23" i="29" l="1"/>
  <c r="I81" i="2"/>
  <c r="I50" i="1" s="1"/>
  <c r="M50" i="1" s="1"/>
  <c r="J79" i="2"/>
  <c r="J80" i="2"/>
  <c r="K6" i="2"/>
  <c r="L26" i="2" s="1"/>
  <c r="J5" i="2"/>
  <c r="K80" i="2" l="1"/>
  <c r="L28" i="2"/>
  <c r="L29" i="2"/>
  <c r="I23" i="29"/>
  <c r="J81" i="2"/>
  <c r="J50" i="1" s="1"/>
  <c r="L56" i="2"/>
  <c r="K79" i="2"/>
  <c r="L43" i="2"/>
  <c r="L58" i="2"/>
  <c r="L79" i="2"/>
  <c r="L33" i="2"/>
  <c r="L49" i="2"/>
  <c r="L48" i="2"/>
  <c r="L24" i="2"/>
  <c r="L60" i="2"/>
  <c r="L81" i="2"/>
  <c r="L22" i="2"/>
  <c r="L53" i="2"/>
  <c r="L61" i="2"/>
  <c r="L65" i="2"/>
  <c r="L54" i="2"/>
  <c r="L23" i="2"/>
  <c r="L27" i="2"/>
  <c r="L42" i="2"/>
  <c r="L64" i="2"/>
  <c r="L32" i="2"/>
  <c r="L57" i="2"/>
  <c r="L55" i="2"/>
  <c r="L52" i="2"/>
  <c r="L25" i="2"/>
  <c r="L66" i="2"/>
  <c r="K14" i="4"/>
  <c r="E14" i="4"/>
  <c r="E26" i="4" s="1"/>
  <c r="D14" i="4"/>
  <c r="D26" i="4" s="1"/>
  <c r="H14" i="4"/>
  <c r="H26" i="4" s="1"/>
  <c r="G14" i="4"/>
  <c r="G26" i="4" s="1"/>
  <c r="I14" i="4"/>
  <c r="I26" i="4" s="1"/>
  <c r="F14" i="4"/>
  <c r="F26" i="4" s="1"/>
  <c r="J14" i="4"/>
  <c r="E88" i="2"/>
  <c r="L12" i="2"/>
  <c r="K5" i="2"/>
  <c r="I28" i="4" l="1"/>
  <c r="G28" i="4"/>
  <c r="H28" i="4"/>
  <c r="L30" i="2"/>
  <c r="F28" i="4"/>
  <c r="E28" i="4"/>
  <c r="D28" i="4"/>
  <c r="M79" i="2"/>
  <c r="J23" i="29"/>
  <c r="K81" i="2"/>
  <c r="K50" i="1" s="1"/>
  <c r="L44" i="2"/>
  <c r="F88" i="2"/>
  <c r="F103" i="2" s="1"/>
  <c r="H88" i="2"/>
  <c r="H130" i="2" s="1"/>
  <c r="I88" i="2"/>
  <c r="I107" i="2" s="1"/>
  <c r="K88" i="2"/>
  <c r="K121" i="2" s="1"/>
  <c r="D88" i="2"/>
  <c r="G88" i="2"/>
  <c r="G121" i="2" s="1"/>
  <c r="J88" i="2"/>
  <c r="J107" i="2" s="1"/>
  <c r="E121" i="2"/>
  <c r="E120" i="2"/>
  <c r="E107" i="2"/>
  <c r="E103" i="2"/>
  <c r="E130" i="2"/>
  <c r="E131" i="2"/>
  <c r="E106" i="2"/>
  <c r="E102" i="2"/>
  <c r="E132" i="2"/>
  <c r="E133" i="2"/>
  <c r="E134" i="2"/>
  <c r="E105" i="2"/>
  <c r="E135" i="2"/>
  <c r="E104" i="2"/>
  <c r="E92" i="2"/>
  <c r="E82" i="15" l="1"/>
  <c r="K23" i="29"/>
  <c r="M81" i="2"/>
  <c r="E81" i="15"/>
  <c r="D130" i="2"/>
  <c r="D120" i="2"/>
  <c r="F134" i="2"/>
  <c r="F105" i="2"/>
  <c r="F121" i="2"/>
  <c r="F120" i="2"/>
  <c r="F106" i="2"/>
  <c r="I120" i="2"/>
  <c r="F133" i="2"/>
  <c r="I103" i="2"/>
  <c r="I133" i="2"/>
  <c r="I135" i="2"/>
  <c r="F131" i="2"/>
  <c r="F135" i="2"/>
  <c r="F130" i="2"/>
  <c r="F132" i="2"/>
  <c r="F107" i="2"/>
  <c r="I105" i="2"/>
  <c r="I132" i="2"/>
  <c r="M56" i="1"/>
  <c r="F92" i="2"/>
  <c r="F104" i="2"/>
  <c r="F102" i="2"/>
  <c r="I104" i="2"/>
  <c r="I102" i="2"/>
  <c r="I121" i="2"/>
  <c r="H133" i="2"/>
  <c r="H102" i="2"/>
  <c r="H92" i="2"/>
  <c r="H103" i="2"/>
  <c r="H104" i="2"/>
  <c r="H120" i="2"/>
  <c r="I92" i="2"/>
  <c r="I131" i="2"/>
  <c r="I130" i="2"/>
  <c r="K120" i="2"/>
  <c r="K122" i="2" s="1"/>
  <c r="K126" i="2" s="1"/>
  <c r="H135" i="2"/>
  <c r="H131" i="2"/>
  <c r="I134" i="2"/>
  <c r="I106" i="2"/>
  <c r="G120" i="2"/>
  <c r="G122" i="2" s="1"/>
  <c r="G127" i="2" s="1"/>
  <c r="K135" i="2"/>
  <c r="K133" i="2"/>
  <c r="K131" i="2"/>
  <c r="K92" i="2"/>
  <c r="K102" i="2"/>
  <c r="K103" i="2"/>
  <c r="K104" i="2"/>
  <c r="K105" i="2"/>
  <c r="K106" i="2"/>
  <c r="K107" i="2"/>
  <c r="H134" i="2"/>
  <c r="H105" i="2"/>
  <c r="H106" i="2"/>
  <c r="H107" i="2"/>
  <c r="J120" i="2"/>
  <c r="K134" i="2"/>
  <c r="K132" i="2"/>
  <c r="K130" i="2"/>
  <c r="H121" i="2"/>
  <c r="H132" i="2"/>
  <c r="D134" i="2"/>
  <c r="D133" i="2"/>
  <c r="D102" i="2"/>
  <c r="D104" i="2"/>
  <c r="D131" i="2"/>
  <c r="D103" i="2"/>
  <c r="D106" i="2"/>
  <c r="D135" i="2"/>
  <c r="D105" i="2"/>
  <c r="D107" i="2"/>
  <c r="D92" i="2"/>
  <c r="D121" i="2"/>
  <c r="D132" i="2"/>
  <c r="G103" i="2"/>
  <c r="J131" i="2"/>
  <c r="G105" i="2"/>
  <c r="J133" i="2"/>
  <c r="G133" i="2"/>
  <c r="J134" i="2"/>
  <c r="J132" i="2"/>
  <c r="J130" i="2"/>
  <c r="J121" i="2"/>
  <c r="J92" i="2"/>
  <c r="J104" i="2"/>
  <c r="J102" i="2"/>
  <c r="J103" i="2"/>
  <c r="G92" i="2"/>
  <c r="G102" i="2"/>
  <c r="J135" i="2"/>
  <c r="J105" i="2"/>
  <c r="J106" i="2"/>
  <c r="G134" i="2"/>
  <c r="G131" i="2"/>
  <c r="G135" i="2"/>
  <c r="G106" i="2"/>
  <c r="G107" i="2"/>
  <c r="G104" i="2"/>
  <c r="G132" i="2"/>
  <c r="G130" i="2"/>
  <c r="N56" i="1"/>
  <c r="N50" i="1"/>
  <c r="E108" i="2"/>
  <c r="E136" i="2"/>
  <c r="E122" i="2"/>
  <c r="E14" i="20"/>
  <c r="F14" i="20"/>
  <c r="G14" i="20"/>
  <c r="H14" i="20"/>
  <c r="I14" i="20"/>
  <c r="J14" i="20"/>
  <c r="K14" i="20"/>
  <c r="D14" i="20"/>
  <c r="I82" i="15" l="1"/>
  <c r="F82" i="15"/>
  <c r="G82" i="15"/>
  <c r="H82" i="15"/>
  <c r="I81" i="15"/>
  <c r="G81" i="15"/>
  <c r="J81" i="15"/>
  <c r="H81" i="15"/>
  <c r="K81" i="15"/>
  <c r="K16" i="20"/>
  <c r="J16" i="20"/>
  <c r="F16" i="20"/>
  <c r="E16" i="20"/>
  <c r="G16" i="20"/>
  <c r="I16" i="20"/>
  <c r="D16" i="20"/>
  <c r="H16" i="20"/>
  <c r="D81" i="15"/>
  <c r="F81" i="15"/>
  <c r="L130" i="2"/>
  <c r="L120" i="2"/>
  <c r="F122" i="2"/>
  <c r="F126" i="2" s="1"/>
  <c r="I122" i="2"/>
  <c r="I126" i="2" s="1"/>
  <c r="F136" i="2"/>
  <c r="F139" i="2" s="1"/>
  <c r="L131" i="2"/>
  <c r="I108" i="2"/>
  <c r="I110" i="2" s="1"/>
  <c r="D122" i="2"/>
  <c r="D126" i="2" s="1"/>
  <c r="F108" i="2"/>
  <c r="F110" i="2" s="1"/>
  <c r="I136" i="2"/>
  <c r="I139" i="2" s="1"/>
  <c r="H122" i="2"/>
  <c r="H126" i="2" s="1"/>
  <c r="K136" i="2"/>
  <c r="K138" i="2" s="1"/>
  <c r="K142" i="2" s="1"/>
  <c r="H136" i="2"/>
  <c r="H138" i="2" s="1"/>
  <c r="K108" i="2"/>
  <c r="K110" i="2" s="1"/>
  <c r="H108" i="2"/>
  <c r="H111" i="2" s="1"/>
  <c r="J122" i="2"/>
  <c r="J127" i="2" s="1"/>
  <c r="L107" i="2"/>
  <c r="L103" i="2"/>
  <c r="L102" i="2"/>
  <c r="L132" i="2"/>
  <c r="L105" i="2"/>
  <c r="L133" i="2"/>
  <c r="L92" i="2"/>
  <c r="L106" i="2"/>
  <c r="L104" i="2"/>
  <c r="L134" i="2"/>
  <c r="M120" i="2"/>
  <c r="L121" i="2"/>
  <c r="M132" i="2"/>
  <c r="M107" i="2"/>
  <c r="M105" i="2"/>
  <c r="D136" i="2"/>
  <c r="D138" i="2" s="1"/>
  <c r="M104" i="2"/>
  <c r="M102" i="2"/>
  <c r="D108" i="2"/>
  <c r="D110" i="2" s="1"/>
  <c r="L135" i="2"/>
  <c r="M133" i="2"/>
  <c r="M92" i="2"/>
  <c r="J136" i="2"/>
  <c r="J139" i="2" s="1"/>
  <c r="M131" i="2"/>
  <c r="M134" i="2"/>
  <c r="J108" i="2"/>
  <c r="J110" i="2" s="1"/>
  <c r="M103" i="2"/>
  <c r="M135" i="2"/>
  <c r="G108" i="2"/>
  <c r="M130" i="2"/>
  <c r="M106" i="2"/>
  <c r="K127" i="2"/>
  <c r="M121" i="2"/>
  <c r="G136" i="2"/>
  <c r="G138" i="2" s="1"/>
  <c r="G126" i="2"/>
  <c r="E127" i="2"/>
  <c r="E126" i="2"/>
  <c r="E138" i="2"/>
  <c r="E139" i="2"/>
  <c r="E111" i="2"/>
  <c r="E110" i="2"/>
  <c r="K111" i="2" l="1"/>
  <c r="H8" i="20"/>
  <c r="H57" i="1" s="1"/>
  <c r="E8" i="20"/>
  <c r="E57" i="1" s="1"/>
  <c r="D8" i="20"/>
  <c r="D57" i="1" s="1"/>
  <c r="F8" i="20"/>
  <c r="F57" i="1" s="1"/>
  <c r="I8" i="20"/>
  <c r="I57" i="1" s="1"/>
  <c r="J8" i="20"/>
  <c r="J57" i="1" s="1"/>
  <c r="G8" i="20"/>
  <c r="G57" i="1" s="1"/>
  <c r="K8" i="20"/>
  <c r="K57" i="1" s="1"/>
  <c r="L122" i="2"/>
  <c r="I127" i="2"/>
  <c r="I143" i="2" s="1"/>
  <c r="F138" i="2"/>
  <c r="F142" i="2" s="1"/>
  <c r="F127" i="2"/>
  <c r="F143" i="2" s="1"/>
  <c r="I111" i="2"/>
  <c r="D127" i="2"/>
  <c r="F111" i="2"/>
  <c r="I138" i="2"/>
  <c r="I142" i="2" s="1"/>
  <c r="K139" i="2"/>
  <c r="K143" i="2" s="1"/>
  <c r="K144" i="2" s="1"/>
  <c r="H127" i="2"/>
  <c r="H142" i="2"/>
  <c r="H139" i="2"/>
  <c r="H110" i="2"/>
  <c r="J126" i="2"/>
  <c r="L136" i="2"/>
  <c r="L108" i="2"/>
  <c r="M122" i="2"/>
  <c r="D111" i="2"/>
  <c r="D139" i="2"/>
  <c r="M108" i="2"/>
  <c r="G139" i="2"/>
  <c r="G143" i="2" s="1"/>
  <c r="G110" i="2"/>
  <c r="M136" i="2"/>
  <c r="J138" i="2"/>
  <c r="J111" i="2"/>
  <c r="G111" i="2"/>
  <c r="G142" i="2"/>
  <c r="J143" i="2"/>
  <c r="E143" i="2"/>
  <c r="D142" i="2"/>
  <c r="L126" i="2"/>
  <c r="E142" i="2"/>
  <c r="M57" i="1" l="1"/>
  <c r="N57" i="1"/>
  <c r="L138" i="2"/>
  <c r="M127" i="2"/>
  <c r="D143" i="2"/>
  <c r="D144" i="2" s="1"/>
  <c r="L127" i="2"/>
  <c r="M138" i="2"/>
  <c r="L110" i="2"/>
  <c r="H143" i="2"/>
  <c r="H144" i="2" s="1"/>
  <c r="J142" i="2"/>
  <c r="J144" i="2" s="1"/>
  <c r="M126" i="2"/>
  <c r="G144" i="2"/>
  <c r="L111" i="2"/>
  <c r="M139" i="2"/>
  <c r="L139" i="2"/>
  <c r="M110" i="2"/>
  <c r="M111" i="2"/>
  <c r="F144" i="2"/>
  <c r="I144" i="2"/>
  <c r="L142" i="2"/>
  <c r="E144" i="2"/>
  <c r="B13" i="1"/>
  <c r="B32" i="1"/>
  <c r="B16" i="1"/>
  <c r="B35" i="1"/>
  <c r="B14" i="1"/>
  <c r="B33" i="1"/>
  <c r="B15" i="1"/>
  <c r="B34" i="1"/>
  <c r="B17" i="1"/>
  <c r="B36" i="1"/>
  <c r="F34" i="29" l="1"/>
  <c r="F37" i="29" s="1"/>
  <c r="E34" i="29"/>
  <c r="E37" i="29" s="1"/>
  <c r="M143" i="2"/>
  <c r="L143" i="2"/>
  <c r="M142" i="2"/>
  <c r="M144" i="2"/>
  <c r="L144" i="2"/>
  <c r="F49" i="29" l="1"/>
  <c r="F41" i="29"/>
  <c r="E49" i="29"/>
  <c r="E41" i="29"/>
  <c r="F79" i="29" l="1"/>
  <c r="F86" i="29" s="1"/>
  <c r="E79" i="29"/>
  <c r="E86" i="29" s="1"/>
  <c r="G34" i="29"/>
  <c r="G37" i="29" s="1"/>
  <c r="H34" i="29"/>
  <c r="H37" i="29" s="1"/>
  <c r="I34" i="29"/>
  <c r="G49" i="29" l="1"/>
  <c r="I37" i="29"/>
  <c r="G41" i="29"/>
  <c r="H49" i="29"/>
  <c r="H41" i="29"/>
  <c r="G79" i="29" l="1"/>
  <c r="G86" i="29" s="1"/>
  <c r="I41" i="29"/>
  <c r="I49" i="29"/>
  <c r="H79" i="29"/>
  <c r="H86" i="29" s="1"/>
  <c r="D48" i="15"/>
  <c r="D50" i="15" s="1"/>
  <c r="I79" i="29" l="1"/>
  <c r="I86" i="29" s="1"/>
  <c r="D34" i="29"/>
  <c r="D37" i="29" s="1"/>
  <c r="D49" i="29" l="1"/>
  <c r="D41" i="29"/>
  <c r="D79" i="29" l="1"/>
  <c r="D86" i="29" s="1"/>
  <c r="D78" i="15"/>
  <c r="D80" i="15" s="1"/>
  <c r="D82" i="15" s="1"/>
  <c r="D14" i="2" l="1"/>
  <c r="D93" i="2" l="1"/>
  <c r="D94" i="2" s="1"/>
  <c r="I14" i="2"/>
  <c r="I93" i="2"/>
  <c r="I94" i="2" s="1"/>
  <c r="D19" i="2"/>
  <c r="D18" i="2"/>
  <c r="G14" i="2" l="1"/>
  <c r="G93" i="2"/>
  <c r="G94" i="2" s="1"/>
  <c r="I99" i="2"/>
  <c r="I115" i="2" s="1"/>
  <c r="I150" i="2" s="1"/>
  <c r="I98" i="2"/>
  <c r="I114" i="2" s="1"/>
  <c r="F14" i="2"/>
  <c r="F93" i="2"/>
  <c r="F94" i="2" s="1"/>
  <c r="I19" i="2"/>
  <c r="I37" i="2" s="1"/>
  <c r="I18" i="2"/>
  <c r="I36" i="2" s="1"/>
  <c r="H14" i="2"/>
  <c r="H93" i="2"/>
  <c r="H94" i="2" s="1"/>
  <c r="E14" i="2"/>
  <c r="E93" i="2"/>
  <c r="L13" i="2"/>
  <c r="L14" i="2" s="1"/>
  <c r="M13" i="2"/>
  <c r="M14" i="2" s="1"/>
  <c r="J14" i="2"/>
  <c r="J93" i="2"/>
  <c r="J94" i="2" s="1"/>
  <c r="K14" i="2"/>
  <c r="K93" i="2"/>
  <c r="K94" i="2" s="1"/>
  <c r="D37" i="2"/>
  <c r="D36" i="2"/>
  <c r="D98" i="2"/>
  <c r="D99" i="2"/>
  <c r="E94" i="2" l="1"/>
  <c r="L93" i="2"/>
  <c r="L94" i="2" s="1"/>
  <c r="M93" i="2"/>
  <c r="M94" i="2" s="1"/>
  <c r="J18" i="2"/>
  <c r="J36" i="2" s="1"/>
  <c r="J19" i="2"/>
  <c r="J37" i="2" s="1"/>
  <c r="E19" i="2"/>
  <c r="E18" i="2"/>
  <c r="I72" i="2"/>
  <c r="I49" i="1"/>
  <c r="J99" i="2"/>
  <c r="J115" i="2" s="1"/>
  <c r="J150" i="2" s="1"/>
  <c r="J98" i="2"/>
  <c r="J114" i="2" s="1"/>
  <c r="I71" i="2"/>
  <c r="I38" i="2"/>
  <c r="K99" i="2"/>
  <c r="K115" i="2" s="1"/>
  <c r="K150" i="2" s="1"/>
  <c r="K98" i="2"/>
  <c r="K114" i="2" s="1"/>
  <c r="H98" i="2"/>
  <c r="H114" i="2" s="1"/>
  <c r="H99" i="2"/>
  <c r="H115" i="2" s="1"/>
  <c r="H150" i="2" s="1"/>
  <c r="F99" i="2"/>
  <c r="F115" i="2" s="1"/>
  <c r="F150" i="2" s="1"/>
  <c r="F98" i="2"/>
  <c r="F114" i="2" s="1"/>
  <c r="G98" i="2"/>
  <c r="G114" i="2" s="1"/>
  <c r="G99" i="2"/>
  <c r="G115" i="2" s="1"/>
  <c r="G150" i="2" s="1"/>
  <c r="I116" i="2"/>
  <c r="I149" i="2"/>
  <c r="I151" i="2" s="1"/>
  <c r="K18" i="2"/>
  <c r="K36" i="2" s="1"/>
  <c r="K19" i="2"/>
  <c r="K37" i="2" s="1"/>
  <c r="H19" i="2"/>
  <c r="H37" i="2" s="1"/>
  <c r="H18" i="2"/>
  <c r="H36" i="2" s="1"/>
  <c r="F18" i="2"/>
  <c r="F36" i="2" s="1"/>
  <c r="F19" i="2"/>
  <c r="F37" i="2" s="1"/>
  <c r="G19" i="2"/>
  <c r="G37" i="2" s="1"/>
  <c r="G18" i="2"/>
  <c r="G36" i="2" s="1"/>
  <c r="D115" i="2"/>
  <c r="D71" i="2"/>
  <c r="D38" i="2"/>
  <c r="D114" i="2"/>
  <c r="D49" i="1"/>
  <c r="D72" i="2"/>
  <c r="I73" i="2" l="1"/>
  <c r="F71" i="2"/>
  <c r="F38" i="2"/>
  <c r="K71" i="2"/>
  <c r="K38" i="2"/>
  <c r="G149" i="2"/>
  <c r="G151" i="2" s="1"/>
  <c r="G116" i="2"/>
  <c r="H149" i="2"/>
  <c r="H151" i="2" s="1"/>
  <c r="H116" i="2"/>
  <c r="J71" i="2"/>
  <c r="J38" i="2"/>
  <c r="G71" i="2"/>
  <c r="G38" i="2"/>
  <c r="H71" i="2"/>
  <c r="H38" i="2"/>
  <c r="F149" i="2"/>
  <c r="F151" i="2" s="1"/>
  <c r="F116" i="2"/>
  <c r="K149" i="2"/>
  <c r="K151" i="2" s="1"/>
  <c r="K116" i="2"/>
  <c r="J116" i="2"/>
  <c r="J149" i="2"/>
  <c r="J151" i="2" s="1"/>
  <c r="E36" i="2"/>
  <c r="L18" i="2"/>
  <c r="M18" i="2"/>
  <c r="G72" i="2"/>
  <c r="G49" i="1"/>
  <c r="H49" i="1"/>
  <c r="H72" i="2"/>
  <c r="E37" i="2"/>
  <c r="L19" i="2"/>
  <c r="M19" i="2"/>
  <c r="F72" i="2"/>
  <c r="F49" i="1"/>
  <c r="K49" i="1"/>
  <c r="K72" i="2"/>
  <c r="J72" i="2"/>
  <c r="J49" i="1"/>
  <c r="E98" i="2"/>
  <c r="E99" i="2"/>
  <c r="D149" i="2"/>
  <c r="D116" i="2"/>
  <c r="D150" i="2"/>
  <c r="D73" i="2"/>
  <c r="K73" i="2" l="1"/>
  <c r="F73" i="2"/>
  <c r="E115" i="2"/>
  <c r="L99" i="2"/>
  <c r="M99" i="2"/>
  <c r="G73" i="2"/>
  <c r="E114" i="2"/>
  <c r="M98" i="2"/>
  <c r="L98" i="2"/>
  <c r="E72" i="2"/>
  <c r="E49" i="1"/>
  <c r="L37" i="2"/>
  <c r="M37" i="2"/>
  <c r="E71" i="2"/>
  <c r="E38" i="2"/>
  <c r="M36" i="2"/>
  <c r="L36" i="2"/>
  <c r="H73" i="2"/>
  <c r="J73" i="2"/>
  <c r="D151" i="2"/>
  <c r="M38" i="2" l="1"/>
  <c r="L38" i="2"/>
  <c r="M72" i="2"/>
  <c r="L72" i="2"/>
  <c r="E73" i="2"/>
  <c r="M71" i="2"/>
  <c r="L71" i="2"/>
  <c r="M49" i="1"/>
  <c r="N49" i="1"/>
  <c r="E149" i="2"/>
  <c r="M114" i="2"/>
  <c r="L114" i="2"/>
  <c r="E116" i="2"/>
  <c r="E150" i="2"/>
  <c r="M115" i="2"/>
  <c r="L115" i="2"/>
  <c r="L116" i="2" l="1"/>
  <c r="M116" i="2"/>
  <c r="E151" i="2"/>
  <c r="L150" i="2"/>
  <c r="M150" i="2"/>
  <c r="M149" i="2"/>
  <c r="L149" i="2"/>
  <c r="M73" i="2"/>
  <c r="L73" i="2"/>
  <c r="M151" i="2" l="1"/>
  <c r="L151" i="2"/>
  <c r="K102" i="5" l="1"/>
  <c r="K22" i="29" l="1"/>
  <c r="K34" i="29" s="1"/>
  <c r="K15" i="4"/>
  <c r="K26" i="4" s="1"/>
  <c r="J102" i="5"/>
  <c r="K37" i="29" l="1"/>
  <c r="J22" i="29"/>
  <c r="J34" i="29" s="1"/>
  <c r="J15" i="4"/>
  <c r="J26" i="4" s="1"/>
  <c r="K49" i="29" l="1"/>
  <c r="K41" i="29"/>
  <c r="J37" i="29"/>
  <c r="K79" i="29" l="1"/>
  <c r="K86" i="29" s="1"/>
  <c r="J41" i="29"/>
  <c r="J49" i="29"/>
  <c r="F21" i="10"/>
  <c r="I21" i="10"/>
  <c r="J79" i="29" l="1"/>
  <c r="J86" i="29" s="1"/>
  <c r="J21" i="10"/>
  <c r="K21" i="10" l="1"/>
  <c r="E21" i="10"/>
  <c r="H21" i="10"/>
  <c r="G21" i="10"/>
  <c r="D31" i="10"/>
  <c r="D21" i="10" l="1"/>
  <c r="D29" i="10" s="1"/>
  <c r="F31" i="10"/>
  <c r="G31" i="10"/>
  <c r="E31" i="10"/>
  <c r="K31" i="10"/>
  <c r="I31" i="10"/>
  <c r="J31" i="10"/>
  <c r="H31" i="10"/>
  <c r="D47" i="10" l="1"/>
  <c r="E16" i="10"/>
  <c r="E18" i="10" s="1"/>
  <c r="D38" i="10"/>
  <c r="D63" i="27" l="1"/>
  <c r="D45" i="10"/>
  <c r="D46" i="10"/>
  <c r="D56" i="27"/>
  <c r="G24" i="10"/>
  <c r="I24" i="10"/>
  <c r="K24" i="10"/>
  <c r="F24" i="10"/>
  <c r="J24" i="10"/>
  <c r="E24" i="10"/>
  <c r="E29" i="10" s="1"/>
  <c r="D54" i="10" l="1"/>
  <c r="D50" i="10"/>
  <c r="D65" i="1"/>
  <c r="D53" i="10"/>
  <c r="D49" i="10"/>
  <c r="F16" i="10"/>
  <c r="F18" i="10" s="1"/>
  <c r="F29" i="10" s="1"/>
  <c r="E47" i="10"/>
  <c r="E38" i="10"/>
  <c r="H24" i="10"/>
  <c r="D55" i="10" l="1"/>
  <c r="E56" i="27"/>
  <c r="E46" i="10"/>
  <c r="E45" i="10"/>
  <c r="E63" i="27"/>
  <c r="D13" i="1"/>
  <c r="D12" i="1"/>
  <c r="D16" i="1"/>
  <c r="D18" i="1"/>
  <c r="D14" i="1"/>
  <c r="D15" i="1"/>
  <c r="D17" i="1"/>
  <c r="D19" i="1"/>
  <c r="D11" i="1"/>
  <c r="F38" i="10"/>
  <c r="F56" i="27" s="1"/>
  <c r="F47" i="10"/>
  <c r="G16" i="10"/>
  <c r="G18" i="10" s="1"/>
  <c r="G29" i="10" s="1"/>
  <c r="D58" i="10"/>
  <c r="D48" i="1"/>
  <c r="D57" i="10"/>
  <c r="D79" i="17"/>
  <c r="D51" i="10"/>
  <c r="F46" i="10" l="1"/>
  <c r="F63" i="27"/>
  <c r="F45" i="10"/>
  <c r="D59" i="10"/>
  <c r="G47" i="10"/>
  <c r="G38" i="10"/>
  <c r="G56" i="27" s="1"/>
  <c r="H16" i="10"/>
  <c r="H18" i="10" s="1"/>
  <c r="H29" i="10" s="1"/>
  <c r="D10" i="1"/>
  <c r="D20" i="1" s="1"/>
  <c r="D58" i="1"/>
  <c r="E53" i="10"/>
  <c r="E49" i="10"/>
  <c r="E65" i="1"/>
  <c r="E54" i="10"/>
  <c r="E50" i="10"/>
  <c r="E58" i="10" l="1"/>
  <c r="E48" i="1"/>
  <c r="E79" i="17"/>
  <c r="E51" i="10"/>
  <c r="E57" i="10"/>
  <c r="I16" i="10"/>
  <c r="I18" i="10" s="1"/>
  <c r="I29" i="10" s="1"/>
  <c r="H38" i="10"/>
  <c r="H47" i="10"/>
  <c r="F54" i="10"/>
  <c r="F50" i="10"/>
  <c r="F65" i="1"/>
  <c r="E12" i="1"/>
  <c r="E13" i="1"/>
  <c r="E11" i="1"/>
  <c r="E15" i="1"/>
  <c r="E16" i="1"/>
  <c r="E14" i="1"/>
  <c r="E19" i="1"/>
  <c r="E18" i="1"/>
  <c r="E17" i="1"/>
  <c r="E55" i="10"/>
  <c r="G63" i="27"/>
  <c r="G45" i="10"/>
  <c r="G46" i="10"/>
  <c r="F53" i="10"/>
  <c r="F49" i="10"/>
  <c r="F55" i="10" l="1"/>
  <c r="F51" i="10"/>
  <c r="F57" i="10"/>
  <c r="F79" i="17"/>
  <c r="F48" i="1"/>
  <c r="F58" i="10"/>
  <c r="H56" i="27"/>
  <c r="G65" i="1"/>
  <c r="G50" i="10"/>
  <c r="G54" i="10"/>
  <c r="G49" i="10"/>
  <c r="G53" i="10"/>
  <c r="F12" i="1"/>
  <c r="F19" i="1"/>
  <c r="F11" i="1"/>
  <c r="F18" i="1"/>
  <c r="F17" i="1"/>
  <c r="F13" i="1"/>
  <c r="F15" i="1"/>
  <c r="F14" i="1"/>
  <c r="F16" i="1"/>
  <c r="H46" i="10"/>
  <c r="H45" i="10"/>
  <c r="H63" i="27"/>
  <c r="E59" i="10"/>
  <c r="E10" i="1"/>
  <c r="E20" i="1" s="1"/>
  <c r="E58" i="1"/>
  <c r="I38" i="10"/>
  <c r="I56" i="27" s="1"/>
  <c r="J16" i="10"/>
  <c r="J18" i="10" s="1"/>
  <c r="J29" i="10" s="1"/>
  <c r="I47" i="10"/>
  <c r="G55" i="10" l="1"/>
  <c r="F59" i="10"/>
  <c r="G12" i="1"/>
  <c r="G16" i="1"/>
  <c r="G14" i="1"/>
  <c r="G19" i="1"/>
  <c r="G13" i="1"/>
  <c r="G17" i="1"/>
  <c r="G15" i="1"/>
  <c r="G11" i="1"/>
  <c r="G18" i="1"/>
  <c r="J38" i="10"/>
  <c r="J56" i="27" s="1"/>
  <c r="J47" i="10"/>
  <c r="K16" i="10"/>
  <c r="K18" i="10" s="1"/>
  <c r="K29" i="10" s="1"/>
  <c r="H54" i="10"/>
  <c r="H50" i="10"/>
  <c r="H65" i="1"/>
  <c r="F58" i="1"/>
  <c r="F10" i="1"/>
  <c r="F20" i="1" s="1"/>
  <c r="I46" i="10"/>
  <c r="I63" i="27"/>
  <c r="I45" i="10"/>
  <c r="H49" i="10"/>
  <c r="H53" i="10"/>
  <c r="G57" i="10"/>
  <c r="G79" i="17"/>
  <c r="G51" i="10"/>
  <c r="G58" i="10"/>
  <c r="G48" i="1"/>
  <c r="G59" i="10" l="1"/>
  <c r="J63" i="27"/>
  <c r="J45" i="10"/>
  <c r="J46" i="10"/>
  <c r="I49" i="10"/>
  <c r="I53" i="10"/>
  <c r="H79" i="17"/>
  <c r="H51" i="10"/>
  <c r="H57" i="10"/>
  <c r="H17" i="1"/>
  <c r="H19" i="1"/>
  <c r="H14" i="1"/>
  <c r="H16" i="1"/>
  <c r="H12" i="1"/>
  <c r="H18" i="1"/>
  <c r="H11" i="1"/>
  <c r="H13" i="1"/>
  <c r="H15" i="1"/>
  <c r="G58" i="1"/>
  <c r="G10" i="1"/>
  <c r="G20" i="1" s="1"/>
  <c r="H55" i="10"/>
  <c r="I50" i="10"/>
  <c r="I65" i="1"/>
  <c r="M14" i="1" s="1"/>
  <c r="I54" i="10"/>
  <c r="H58" i="10"/>
  <c r="H48" i="1"/>
  <c r="K38" i="10"/>
  <c r="K56" i="27" s="1"/>
  <c r="K47" i="10"/>
  <c r="M16" i="1" l="1"/>
  <c r="I17" i="1"/>
  <c r="I14" i="1"/>
  <c r="I15" i="1"/>
  <c r="I12" i="1"/>
  <c r="I11" i="1"/>
  <c r="I18" i="1"/>
  <c r="I19" i="1"/>
  <c r="I13" i="1"/>
  <c r="I16" i="1"/>
  <c r="M19" i="1"/>
  <c r="M13" i="1"/>
  <c r="M17" i="1"/>
  <c r="I57" i="10"/>
  <c r="I79" i="17"/>
  <c r="I51" i="10"/>
  <c r="K46" i="10"/>
  <c r="K63" i="27"/>
  <c r="K45" i="10"/>
  <c r="I48" i="1"/>
  <c r="I58" i="10"/>
  <c r="M12" i="1"/>
  <c r="J65" i="1"/>
  <c r="J54" i="10"/>
  <c r="J50" i="10"/>
  <c r="M15" i="1"/>
  <c r="M11" i="1"/>
  <c r="J53" i="10"/>
  <c r="J49" i="10"/>
  <c r="M18" i="1"/>
  <c r="H10" i="1"/>
  <c r="H20" i="1" s="1"/>
  <c r="H58" i="1"/>
  <c r="H59" i="10"/>
  <c r="I55" i="10"/>
  <c r="J55" i="10" l="1"/>
  <c r="L79" i="17"/>
  <c r="I59" i="10"/>
  <c r="K50" i="10"/>
  <c r="K54" i="10"/>
  <c r="K65" i="1"/>
  <c r="N16" i="1" s="1"/>
  <c r="J57" i="10"/>
  <c r="J51" i="10"/>
  <c r="J79" i="17"/>
  <c r="J58" i="10"/>
  <c r="J48" i="1"/>
  <c r="I58" i="1"/>
  <c r="I10" i="1"/>
  <c r="I20" i="1" s="1"/>
  <c r="M48" i="1"/>
  <c r="M58" i="1" s="1"/>
  <c r="M10" i="1"/>
  <c r="M20" i="1" s="1"/>
  <c r="K49" i="10"/>
  <c r="K53" i="10"/>
  <c r="J14" i="1"/>
  <c r="J12" i="1"/>
  <c r="J18" i="1"/>
  <c r="J19" i="1"/>
  <c r="J13" i="1"/>
  <c r="J17" i="1"/>
  <c r="J15" i="1"/>
  <c r="J16" i="1"/>
  <c r="J11" i="1"/>
  <c r="N19" i="1" l="1"/>
  <c r="N18" i="1"/>
  <c r="K55" i="10"/>
  <c r="J59" i="10"/>
  <c r="K51" i="10"/>
  <c r="K79" i="17"/>
  <c r="K57" i="10"/>
  <c r="N11" i="1"/>
  <c r="K14" i="1"/>
  <c r="K16" i="1"/>
  <c r="K11" i="1"/>
  <c r="K17" i="1"/>
  <c r="K15" i="1"/>
  <c r="K12" i="1"/>
  <c r="K18" i="1"/>
  <c r="K19" i="1"/>
  <c r="K13" i="1"/>
  <c r="N17" i="1"/>
  <c r="N14" i="1"/>
  <c r="N15" i="1"/>
  <c r="N13" i="1"/>
  <c r="N12" i="1"/>
  <c r="J58" i="1"/>
  <c r="J10" i="1"/>
  <c r="J20" i="1" s="1"/>
  <c r="K58" i="10"/>
  <c r="K48" i="1"/>
  <c r="K59" i="10" l="1"/>
  <c r="M79" i="17"/>
  <c r="K58" i="1"/>
  <c r="K10" i="1"/>
  <c r="K20" i="1" s="1"/>
  <c r="N10" i="1"/>
  <c r="N48" i="1"/>
  <c r="N20" i="1" l="1"/>
  <c r="N58" i="1"/>
  <c r="K28" i="17" l="1"/>
  <c r="K30" i="17" s="1"/>
  <c r="J28" i="17"/>
  <c r="J30" i="17" s="1"/>
  <c r="D23" i="27"/>
  <c r="D42" i="27" s="1"/>
  <c r="G23" i="27"/>
  <c r="G42" i="27" s="1"/>
  <c r="H23" i="27"/>
  <c r="H42" i="27" s="1"/>
  <c r="H28" i="17" l="1"/>
  <c r="H30" i="17" s="1"/>
  <c r="F23" i="27"/>
  <c r="F42" i="27" s="1"/>
  <c r="F28" i="17"/>
  <c r="F30" i="17" s="1"/>
  <c r="G28" i="17"/>
  <c r="G30" i="17" s="1"/>
  <c r="D28" i="17"/>
  <c r="D30" i="17" s="1"/>
  <c r="J23" i="27"/>
  <c r="J42" i="27" s="1"/>
  <c r="J33" i="17"/>
  <c r="E28" i="17"/>
  <c r="E30" i="17" s="1"/>
  <c r="K23" i="27"/>
  <c r="K42" i="27" s="1"/>
  <c r="E23" i="27"/>
  <c r="E42" i="27" s="1"/>
  <c r="G44" i="27" l="1"/>
  <c r="G45" i="27"/>
  <c r="I28" i="17"/>
  <c r="I30" i="17" s="1"/>
  <c r="D45" i="27"/>
  <c r="D44" i="27"/>
  <c r="I23" i="27"/>
  <c r="I42" i="27" s="1"/>
  <c r="H44" i="27"/>
  <c r="H45" i="27"/>
  <c r="E45" i="27" l="1"/>
  <c r="E44" i="27"/>
  <c r="G48" i="27"/>
  <c r="H47" i="27" s="1"/>
  <c r="D48" i="27"/>
  <c r="K45" i="27"/>
  <c r="K44" i="27"/>
  <c r="F45" i="27"/>
  <c r="F44" i="27"/>
  <c r="H48" i="27"/>
  <c r="I47" i="27" s="1"/>
  <c r="J44" i="27"/>
  <c r="J45" i="27"/>
  <c r="H54" i="27" l="1"/>
  <c r="H39" i="17" s="1"/>
  <c r="J48" i="27"/>
  <c r="K47" i="27" s="1"/>
  <c r="E48" i="27"/>
  <c r="F47" i="27" s="1"/>
  <c r="F48" i="27"/>
  <c r="G47" i="27" s="1"/>
  <c r="G54" i="27" s="1"/>
  <c r="K48" i="27"/>
  <c r="I45" i="27"/>
  <c r="I44" i="27"/>
  <c r="D54" i="27"/>
  <c r="E47" i="27"/>
  <c r="E54" i="27" l="1"/>
  <c r="E55" i="27" s="1"/>
  <c r="H57" i="27"/>
  <c r="H62" i="27" s="1"/>
  <c r="H66" i="1" s="1"/>
  <c r="H55" i="27"/>
  <c r="I48" i="27"/>
  <c r="E39" i="17"/>
  <c r="H61" i="27"/>
  <c r="H64" i="27" s="1"/>
  <c r="D57" i="27"/>
  <c r="D55" i="27"/>
  <c r="D39" i="17"/>
  <c r="K54" i="27"/>
  <c r="F54" i="27"/>
  <c r="G57" i="27"/>
  <c r="G55" i="27"/>
  <c r="G39" i="17"/>
  <c r="H64" i="17"/>
  <c r="H43" i="17"/>
  <c r="H59" i="27" l="1"/>
  <c r="H47" i="29"/>
  <c r="E57" i="27"/>
  <c r="E61" i="27" s="1"/>
  <c r="E64" i="27" s="1"/>
  <c r="G62" i="27"/>
  <c r="G66" i="1" s="1"/>
  <c r="G61" i="27"/>
  <c r="G64" i="27" s="1"/>
  <c r="G47" i="29"/>
  <c r="G59" i="27"/>
  <c r="E43" i="17"/>
  <c r="E64" i="17"/>
  <c r="D64" i="17"/>
  <c r="D43" i="17"/>
  <c r="D85" i="17" s="1"/>
  <c r="H32" i="1"/>
  <c r="H37" i="1"/>
  <c r="H30" i="1"/>
  <c r="H38" i="1"/>
  <c r="H35" i="1"/>
  <c r="H36" i="1"/>
  <c r="H29" i="1"/>
  <c r="H33" i="1"/>
  <c r="H34" i="1"/>
  <c r="H31" i="1"/>
  <c r="F39" i="17"/>
  <c r="F55" i="27"/>
  <c r="F57" i="27"/>
  <c r="D61" i="27"/>
  <c r="D64" i="27" s="1"/>
  <c r="D62" i="27"/>
  <c r="D66" i="1" s="1"/>
  <c r="D47" i="29"/>
  <c r="D59" i="27"/>
  <c r="H62" i="17"/>
  <c r="H66" i="27"/>
  <c r="J47" i="27"/>
  <c r="J54" i="27" s="1"/>
  <c r="I54" i="27"/>
  <c r="H85" i="17"/>
  <c r="G43" i="17"/>
  <c r="G64" i="17"/>
  <c r="K39" i="17"/>
  <c r="K55" i="27"/>
  <c r="K57" i="27"/>
  <c r="E62" i="27"/>
  <c r="E66" i="1" s="1"/>
  <c r="E59" i="27" l="1"/>
  <c r="E47" i="29"/>
  <c r="F64" i="17"/>
  <c r="F43" i="17"/>
  <c r="D37" i="1"/>
  <c r="D33" i="1"/>
  <c r="D36" i="1"/>
  <c r="D38" i="1"/>
  <c r="D32" i="1"/>
  <c r="D30" i="1"/>
  <c r="D29" i="1"/>
  <c r="D31" i="1"/>
  <c r="D35" i="1"/>
  <c r="D34" i="1"/>
  <c r="E62" i="17"/>
  <c r="E66" i="27"/>
  <c r="H65" i="17"/>
  <c r="H69" i="17"/>
  <c r="D62" i="17"/>
  <c r="D66" i="27"/>
  <c r="H39" i="1"/>
  <c r="E33" i="1"/>
  <c r="E38" i="1"/>
  <c r="E37" i="1"/>
  <c r="E30" i="1"/>
  <c r="E31" i="1"/>
  <c r="E36" i="1"/>
  <c r="E29" i="1"/>
  <c r="E35" i="1"/>
  <c r="E32" i="1"/>
  <c r="E34" i="1"/>
  <c r="I57" i="27"/>
  <c r="I55" i="27"/>
  <c r="I39" i="17"/>
  <c r="F61" i="27"/>
  <c r="F64" i="27" s="1"/>
  <c r="F47" i="29"/>
  <c r="F62" i="27"/>
  <c r="F66" i="1" s="1"/>
  <c r="F59" i="27"/>
  <c r="G62" i="17"/>
  <c r="G66" i="27"/>
  <c r="K43" i="17"/>
  <c r="K64" i="17"/>
  <c r="K61" i="27"/>
  <c r="K64" i="27" s="1"/>
  <c r="K47" i="29"/>
  <c r="K62" i="27"/>
  <c r="K66" i="1" s="1"/>
  <c r="K59" i="27"/>
  <c r="G85" i="17"/>
  <c r="J55" i="27"/>
  <c r="J39" i="17"/>
  <c r="J57" i="27"/>
  <c r="E85" i="17"/>
  <c r="G33" i="1"/>
  <c r="G31" i="1"/>
  <c r="G35" i="1"/>
  <c r="G34" i="1"/>
  <c r="G30" i="1"/>
  <c r="G37" i="1"/>
  <c r="G29" i="1"/>
  <c r="G38" i="1"/>
  <c r="G32" i="1"/>
  <c r="G36" i="1"/>
  <c r="E39" i="1" l="1"/>
  <c r="J43" i="17"/>
  <c r="J64" i="17"/>
  <c r="F62" i="17"/>
  <c r="F66" i="27"/>
  <c r="J61" i="27"/>
  <c r="J64" i="27" s="1"/>
  <c r="J47" i="29"/>
  <c r="J62" i="27"/>
  <c r="J66" i="1" s="1"/>
  <c r="J59" i="27"/>
  <c r="K62" i="17"/>
  <c r="K66" i="27"/>
  <c r="G69" i="17"/>
  <c r="G65" i="17"/>
  <c r="I47" i="29"/>
  <c r="I61" i="27"/>
  <c r="I64" i="27" s="1"/>
  <c r="I62" i="27"/>
  <c r="I66" i="1" s="1"/>
  <c r="N31" i="1" s="1"/>
  <c r="I59" i="27"/>
  <c r="I64" i="17"/>
  <c r="I43" i="17"/>
  <c r="D39" i="1"/>
  <c r="F85" i="17"/>
  <c r="H50" i="29"/>
  <c r="H51" i="29" s="1"/>
  <c r="H53" i="29" s="1"/>
  <c r="H81" i="29" s="1"/>
  <c r="H88" i="29" s="1"/>
  <c r="H89" i="29" s="1"/>
  <c r="H66" i="17"/>
  <c r="H68" i="17" s="1"/>
  <c r="H87" i="17" s="1"/>
  <c r="K33" i="1"/>
  <c r="K37" i="1"/>
  <c r="K31" i="1"/>
  <c r="K29" i="1"/>
  <c r="K35" i="1"/>
  <c r="K38" i="1"/>
  <c r="K34" i="1"/>
  <c r="K30" i="1"/>
  <c r="K36" i="1"/>
  <c r="K32" i="1"/>
  <c r="K85" i="17"/>
  <c r="G39" i="1"/>
  <c r="F32" i="1"/>
  <c r="F31" i="1"/>
  <c r="F33" i="1"/>
  <c r="F36" i="1"/>
  <c r="F38" i="1"/>
  <c r="F37" i="1"/>
  <c r="F29" i="1"/>
  <c r="F34" i="1"/>
  <c r="F30" i="1"/>
  <c r="F35" i="1"/>
  <c r="D69" i="17"/>
  <c r="D65" i="17"/>
  <c r="E65" i="17"/>
  <c r="E69" i="17"/>
  <c r="N29" i="1" l="1"/>
  <c r="N35" i="1"/>
  <c r="N32" i="1"/>
  <c r="E50" i="29"/>
  <c r="E51" i="29" s="1"/>
  <c r="E53" i="29" s="1"/>
  <c r="E81" i="29" s="1"/>
  <c r="E88" i="29" s="1"/>
  <c r="E89" i="29" s="1"/>
  <c r="E66" i="17"/>
  <c r="E68" i="17" s="1"/>
  <c r="E87" i="17" s="1"/>
  <c r="K39" i="1"/>
  <c r="H89" i="17"/>
  <c r="N30" i="1"/>
  <c r="I33" i="1"/>
  <c r="I31" i="1"/>
  <c r="I36" i="1"/>
  <c r="I29" i="1"/>
  <c r="I32" i="1"/>
  <c r="I37" i="1"/>
  <c r="I35" i="1"/>
  <c r="I34" i="1"/>
  <c r="I38" i="1"/>
  <c r="I30" i="1"/>
  <c r="M38" i="1"/>
  <c r="N37" i="1"/>
  <c r="N33" i="1"/>
  <c r="N38" i="1"/>
  <c r="M32" i="1"/>
  <c r="M29" i="1"/>
  <c r="M35" i="1"/>
  <c r="M30" i="1"/>
  <c r="N36" i="1"/>
  <c r="M34" i="1"/>
  <c r="M37" i="1"/>
  <c r="M31" i="1"/>
  <c r="M33" i="1"/>
  <c r="M36" i="1"/>
  <c r="N34" i="1"/>
  <c r="J36" i="1"/>
  <c r="J33" i="1"/>
  <c r="J32" i="1"/>
  <c r="J38" i="1"/>
  <c r="J37" i="1"/>
  <c r="J30" i="1"/>
  <c r="J34" i="1"/>
  <c r="J29" i="1"/>
  <c r="J31" i="1"/>
  <c r="J35" i="1"/>
  <c r="F65" i="17"/>
  <c r="F69" i="17"/>
  <c r="H61" i="1"/>
  <c r="H83" i="29"/>
  <c r="H62" i="1" s="1"/>
  <c r="I85" i="17"/>
  <c r="M43" i="17"/>
  <c r="L43" i="17"/>
  <c r="I62" i="17"/>
  <c r="I66" i="27"/>
  <c r="G50" i="29"/>
  <c r="G51" i="29" s="1"/>
  <c r="G53" i="29" s="1"/>
  <c r="G81" i="29" s="1"/>
  <c r="G88" i="29" s="1"/>
  <c r="G89" i="29" s="1"/>
  <c r="G66" i="17"/>
  <c r="G68" i="17" s="1"/>
  <c r="G87" i="17" s="1"/>
  <c r="D50" i="29"/>
  <c r="D51" i="29" s="1"/>
  <c r="D53" i="29" s="1"/>
  <c r="D81" i="29" s="1"/>
  <c r="D88" i="29" s="1"/>
  <c r="D89" i="29" s="1"/>
  <c r="D66" i="17"/>
  <c r="D68" i="17" s="1"/>
  <c r="F39" i="1"/>
  <c r="K69" i="17"/>
  <c r="K65" i="17"/>
  <c r="J62" i="17"/>
  <c r="J66" i="27"/>
  <c r="J85" i="17"/>
  <c r="J39" i="1" l="1"/>
  <c r="G61" i="1"/>
  <c r="G83" i="29"/>
  <c r="G62" i="1" s="1"/>
  <c r="I65" i="17"/>
  <c r="I69" i="17"/>
  <c r="L69" i="17" s="1"/>
  <c r="F50" i="29"/>
  <c r="F51" i="29" s="1"/>
  <c r="F53" i="29" s="1"/>
  <c r="F81" i="29" s="1"/>
  <c r="F88" i="29" s="1"/>
  <c r="F89" i="29" s="1"/>
  <c r="F66" i="17"/>
  <c r="F68" i="17" s="1"/>
  <c r="F87" i="17" s="1"/>
  <c r="M39" i="1"/>
  <c r="I39" i="1"/>
  <c r="E89" i="17"/>
  <c r="G89" i="17"/>
  <c r="J69" i="17"/>
  <c r="J65" i="17"/>
  <c r="D87" i="17"/>
  <c r="E83" i="29"/>
  <c r="E62" i="1" s="1"/>
  <c r="E61" i="1"/>
  <c r="L85" i="17"/>
  <c r="K50" i="29"/>
  <c r="K51" i="29" s="1"/>
  <c r="K53" i="29" s="1"/>
  <c r="K81" i="29" s="1"/>
  <c r="K88" i="29" s="1"/>
  <c r="K89" i="29" s="1"/>
  <c r="K66" i="17"/>
  <c r="K68" i="17" s="1"/>
  <c r="K87" i="17" s="1"/>
  <c r="N39" i="1"/>
  <c r="D83" i="29"/>
  <c r="D62" i="1" s="1"/>
  <c r="D61" i="1"/>
  <c r="H22" i="1"/>
  <c r="H41" i="1"/>
  <c r="H63" i="1"/>
  <c r="M85" i="17"/>
  <c r="H23" i="1" l="1"/>
  <c r="H42" i="1"/>
  <c r="M69" i="17"/>
  <c r="E22" i="1"/>
  <c r="E41" i="1"/>
  <c r="D89" i="17"/>
  <c r="F89" i="17"/>
  <c r="K61" i="1"/>
  <c r="K83" i="29"/>
  <c r="K62" i="1" s="1"/>
  <c r="G63" i="1"/>
  <c r="J50" i="29"/>
  <c r="J51" i="29" s="1"/>
  <c r="J53" i="29" s="1"/>
  <c r="J81" i="29" s="1"/>
  <c r="J88" i="29" s="1"/>
  <c r="J89" i="29" s="1"/>
  <c r="J66" i="17"/>
  <c r="J68" i="17" s="1"/>
  <c r="J87" i="17" s="1"/>
  <c r="E63" i="1"/>
  <c r="F83" i="29"/>
  <c r="F62" i="1" s="1"/>
  <c r="F61" i="1"/>
  <c r="G41" i="1"/>
  <c r="G22" i="1"/>
  <c r="D41" i="1"/>
  <c r="D22" i="1"/>
  <c r="I50" i="29"/>
  <c r="I51" i="29" s="1"/>
  <c r="I53" i="29" s="1"/>
  <c r="I81" i="29" s="1"/>
  <c r="I88" i="29" s="1"/>
  <c r="I89" i="29" s="1"/>
  <c r="I66" i="17"/>
  <c r="I68" i="17" s="1"/>
  <c r="K89" i="17"/>
  <c r="E42" i="1" l="1"/>
  <c r="M68" i="17"/>
  <c r="E23" i="1"/>
  <c r="K63" i="1"/>
  <c r="J61" i="1"/>
  <c r="J83" i="29"/>
  <c r="J62" i="1" s="1"/>
  <c r="G23" i="1"/>
  <c r="G42" i="1"/>
  <c r="F63" i="1"/>
  <c r="D23" i="1"/>
  <c r="I83" i="29"/>
  <c r="I62" i="1" s="1"/>
  <c r="M62" i="1" s="1"/>
  <c r="I61" i="1"/>
  <c r="D42" i="1"/>
  <c r="I87" i="17"/>
  <c r="L68" i="17"/>
  <c r="F41" i="1"/>
  <c r="F22" i="1"/>
  <c r="J89" i="17"/>
  <c r="K41" i="1"/>
  <c r="K22" i="1"/>
  <c r="N62" i="1" l="1"/>
  <c r="K42" i="1"/>
  <c r="D63" i="1"/>
  <c r="F23" i="1"/>
  <c r="F42" i="1"/>
  <c r="J63" i="1"/>
  <c r="J41" i="1"/>
  <c r="J22" i="1"/>
  <c r="I89" i="17"/>
  <c r="M87" i="17"/>
  <c r="L87" i="17"/>
  <c r="I22" i="1"/>
  <c r="I41" i="1"/>
  <c r="N41" i="1"/>
  <c r="M22" i="1"/>
  <c r="N22" i="1"/>
  <c r="M61" i="1"/>
  <c r="M41" i="1"/>
  <c r="K23" i="1"/>
  <c r="N61" i="1"/>
  <c r="J42" i="1" l="1"/>
  <c r="J23" i="1"/>
  <c r="I42" i="1"/>
  <c r="M89" i="17"/>
  <c r="L89" i="17"/>
  <c r="I23" i="1"/>
  <c r="M23" i="1"/>
  <c r="I63" i="1" l="1"/>
  <c r="M42" i="1"/>
  <c r="N42" i="1"/>
  <c r="N23" i="1"/>
  <c r="M63" i="1"/>
  <c r="N63" i="1" l="1"/>
  <c r="E33" i="17" l="1"/>
  <c r="H33" i="17" l="1"/>
  <c r="D33" i="17"/>
  <c r="G33" i="17"/>
  <c r="F33" i="17"/>
  <c r="I33" i="17"/>
  <c r="K33" i="17" l="1"/>
</calcChain>
</file>

<file path=xl/sharedStrings.xml><?xml version="1.0" encoding="utf-8"?>
<sst xmlns="http://schemas.openxmlformats.org/spreadsheetml/2006/main" count="1316" uniqueCount="588">
  <si>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</si>
  <si>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</si>
  <si>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</si>
  <si>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</si>
  <si>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</si>
  <si>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</si>
  <si>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</si>
  <si>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</si>
  <si>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</si>
  <si>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</si>
  <si>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</si>
  <si>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</si>
  <si>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</si>
  <si>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</si>
  <si>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</si>
  <si>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</si>
  <si>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</si>
  <si>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</si>
  <si>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</si>
  <si>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</si>
  <si>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</si>
  <si>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</si>
  <si>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</si>
  <si>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</si>
  <si>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</si>
  <si>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</si>
  <si>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</si>
  <si>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</si>
  <si>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</si>
  <si>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</si>
  <si>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</si>
  <si>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</si>
  <si>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</si>
  <si>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</si>
  <si>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</si>
  <si>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</si>
  <si>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</si>
  <si>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</si>
  <si>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</si>
  <si>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</si>
  <si>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</si>
  <si>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</si>
  <si>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</si>
  <si>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</si>
  <si>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</si>
  <si>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</si>
  <si>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</si>
  <si>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</si>
  <si>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</si>
  <si>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</si>
  <si>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</si>
  <si>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</si>
  <si>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</si>
  <si>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</si>
  <si>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</si>
  <si>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</si>
  <si>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</si>
  <si>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</si>
  <si>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</si>
  <si>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</si>
  <si>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</si>
  <si>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</si>
  <si>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</si>
  <si>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</si>
  <si>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</si>
  <si>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</si>
  <si>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</si>
  <si>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</si>
  <si>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</si>
  <si>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</si>
  <si>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</si>
  <si>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</si>
  <si>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</si>
  <si>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</si>
  <si>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</si>
  <si>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</si>
  <si>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</si>
  <si>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</si>
  <si>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</si>
  <si>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</si>
  <si>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</si>
  <si>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</si>
  <si>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</si>
  <si>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</si>
  <si>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</si>
  <si>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</si>
  <si>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</si>
  <si>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</si>
  <si>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</si>
  <si>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</si>
  <si>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</si>
  <si>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</si>
  <si>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</si>
  <si>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</si>
  <si>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</si>
  <si>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</si>
  <si>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</si>
  <si>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</si>
  <si>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</si>
  <si>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</si>
  <si>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</si>
  <si>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</si>
  <si>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</si>
  <si>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</si>
  <si>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</si>
  <si>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</si>
  <si>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</si>
  <si>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</si>
  <si>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</si>
  <si>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</si>
  <si>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</si>
  <si>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</si>
  <si>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</si>
  <si>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</si>
  <si>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</si>
  <si>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</si>
  <si>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</si>
  <si>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</si>
  <si>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</si>
  <si>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</si>
  <si>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</si>
  <si>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</si>
  <si>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</si>
  <si>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</si>
  <si>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</si>
  <si>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</si>
  <si>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</si>
  <si>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</si>
  <si>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</si>
  <si>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</si>
  <si>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</si>
  <si>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</si>
  <si>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</si>
  <si>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</si>
  <si>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</si>
  <si>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</si>
  <si>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</si>
  <si>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</si>
  <si>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</si>
  <si>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</si>
  <si>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</si>
  <si>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</si>
  <si>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</si>
  <si>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</si>
  <si>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</si>
  <si>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</si>
  <si>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</si>
  <si>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</si>
  <si>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</si>
  <si>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</si>
  <si>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</si>
  <si>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</si>
  <si>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</si>
  <si>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</si>
  <si>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</si>
  <si>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</si>
  <si>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</si>
  <si>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</si>
  <si>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</si>
  <si>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</si>
  <si>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</si>
  <si>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</si>
  <si>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</si>
  <si>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</si>
  <si>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</si>
  <si>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</si>
  <si>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</si>
  <si>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</si>
  <si>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</si>
  <si>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</si>
  <si>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</si>
  <si>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</si>
  <si>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</si>
  <si>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</si>
  <si>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</si>
  <si>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</si>
  <si>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</si>
  <si>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</si>
  <si>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</si>
  <si>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</si>
  <si>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</si>
  <si>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</si>
  <si>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</si>
  <si>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</si>
  <si>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</si>
  <si>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</si>
  <si>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</si>
  <si>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</si>
  <si>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</si>
  <si>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</si>
  <si>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</si>
  <si>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</si>
  <si>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</si>
  <si>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</si>
  <si>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</si>
  <si>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</si>
  <si>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</si>
  <si>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</si>
  <si>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</si>
  <si>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</si>
  <si>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</si>
  <si>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</si>
  <si>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</si>
  <si>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</si>
  <si>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</si>
  <si>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</si>
  <si>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</si>
  <si>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</si>
  <si>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</si>
  <si>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</si>
  <si>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</si>
  <si>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</si>
  <si>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</si>
  <si>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</si>
  <si>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</si>
  <si>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</si>
  <si>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</si>
  <si>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</si>
  <si>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</si>
  <si>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</si>
  <si>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</si>
  <si>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</si>
  <si>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</si>
  <si>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</si>
  <si>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</si>
  <si>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</si>
  <si>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</si>
  <si>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</si>
  <si>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</si>
  <si>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</si>
  <si>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</si>
  <si>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</si>
  <si>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</si>
  <si>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</si>
  <si>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</si>
  <si>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</si>
  <si>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</si>
  <si>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</si>
  <si>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</si>
  <si>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</si>
  <si>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</si>
  <si>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</si>
  <si>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</si>
  <si>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</si>
  <si>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</si>
  <si>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</si>
  <si>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</si>
  <si>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</si>
  <si>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</si>
  <si>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</si>
  <si>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</si>
  <si>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</si>
  <si>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</si>
  <si>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</si>
  <si>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</si>
  <si>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</si>
  <si>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</si>
  <si>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</si>
  <si>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</si>
  <si>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</si>
  <si>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</si>
  <si>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</si>
  <si>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</si>
  <si>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</si>
  <si>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</si>
  <si>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</si>
  <si>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</si>
  <si>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</si>
  <si>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</si>
  <si>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</si>
  <si>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</si>
  <si>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</si>
  <si>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</si>
  <si>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</si>
  <si>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</si>
  <si>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</si>
  <si>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</si>
  <si>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</si>
  <si>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</si>
  <si>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</si>
  <si>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</si>
  <si>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</si>
  <si>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</si>
  <si>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</si>
  <si>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</si>
  <si>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</si>
  <si>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</si>
  <si>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</si>
  <si>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</si>
  <si>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</si>
  <si>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</si>
  <si>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</si>
  <si>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</si>
  <si>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</si>
  <si>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</si>
  <si>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</si>
  <si>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</si>
  <si>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</si>
  <si>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</si>
  <si>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</si>
  <si>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</si>
  <si>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</si>
  <si>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</si>
  <si>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</si>
  <si>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</si>
  <si>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</si>
  <si>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</si>
  <si>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</si>
  <si>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</si>
  <si>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</si>
  <si>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</si>
  <si>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</si>
  <si>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</si>
  <si>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</si>
  <si>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</si>
  <si>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</si>
  <si>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</si>
  <si>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</si>
  <si>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</si>
  <si>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</si>
  <si>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</si>
  <si>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</si>
  <si>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</si>
  <si>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</si>
  <si>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</si>
  <si>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</si>
  <si>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</si>
  <si>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</si>
  <si>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</si>
  <si>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</si>
  <si>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</si>
  <si>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</si>
  <si>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</si>
  <si>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</si>
  <si>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</si>
  <si>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</si>
  <si>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</si>
  <si>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</si>
  <si>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</si>
  <si>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</si>
  <si>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</si>
  <si>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</si>
  <si>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</si>
  <si>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</si>
  <si>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</si>
  <si>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</si>
  <si>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</si>
  <si>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</si>
  <si>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</si>
  <si>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</si>
  <si>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</si>
  <si>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</si>
  <si>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</si>
  <si>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</si>
  <si>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</si>
  <si>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</si>
  <si>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</si>
  <si>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</si>
  <si>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</si>
  <si>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</si>
  <si>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</si>
  <si>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</si>
  <si>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</si>
  <si>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</si>
  <si>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</si>
  <si>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</si>
  <si>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</si>
  <si>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</si>
  <si>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</si>
  <si>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</si>
  <si>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</si>
  <si>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</si>
  <si>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</si>
  <si>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</si>
  <si>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</si>
  <si>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</si>
  <si>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</si>
  <si>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</si>
  <si>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</si>
  <si>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</si>
  <si>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</si>
  <si>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</si>
  <si>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</si>
  <si>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</si>
  <si>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</si>
  <si>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</si>
  <si>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</si>
  <si>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</si>
  <si>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</si>
  <si>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</si>
  <si>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</si>
  <si>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</si>
  <si>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</si>
  <si>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</si>
  <si>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</si>
  <si>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</si>
  <si>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</si>
  <si>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</si>
  <si>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</si>
  <si>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</si>
  <si>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</si>
  <si>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</si>
  <si>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</si>
  <si>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</si>
  <si>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</si>
  <si>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</si>
  <si>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</si>
  <si>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</si>
  <si>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</si>
  <si>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</si>
  <si>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</si>
  <si>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</si>
  <si>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</si>
  <si>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</si>
  <si>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</si>
  <si>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</si>
  <si>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</si>
  <si>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</si>
  <si>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</si>
  <si>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</si>
  <si>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</si>
  <si>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</si>
  <si>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</si>
  <si>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</si>
  <si>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</si>
  <si>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</si>
  <si>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</si>
  <si>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</si>
  <si>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</si>
  <si>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</si>
  <si>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</si>
  <si>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</si>
  <si>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</si>
  <si>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</si>
  <si>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</si>
  <si>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</si>
  <si>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</si>
  <si>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</si>
  <si>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</si>
  <si>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</si>
  <si>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</si>
  <si>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</si>
  <si>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</si>
  <si>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</si>
  <si>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</si>
  <si>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</si>
  <si>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</si>
  <si>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</si>
  <si>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</si>
  <si>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</si>
  <si>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</si>
  <si>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</si>
  <si>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</si>
  <si>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</si>
  <si>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</si>
  <si>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</si>
  <si>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</si>
  <si>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</si>
  <si>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</si>
  <si>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</si>
  <si>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</si>
  <si>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</si>
  <si>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</si>
  <si>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</si>
  <si>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</si>
  <si>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</si>
  <si>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</si>
  <si>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</si>
  <si>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</si>
  <si>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</si>
  <si>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</si>
  <si>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</si>
  <si>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</si>
  <si>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</si>
  <si>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</si>
  <si>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</si>
  <si>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</si>
  <si>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</si>
  <si>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</si>
  <si>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</si>
  <si>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</si>
  <si>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</si>
  <si>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</si>
  <si>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</si>
  <si>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</si>
  <si>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</si>
  <si>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</si>
  <si>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</si>
  <si>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</si>
  <si>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</si>
  <si>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</si>
  <si>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</si>
  <si>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</si>
  <si>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</si>
  <si>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</si>
  <si>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</si>
  <si>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</si>
  <si>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</si>
  <si>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</si>
  <si>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</si>
  <si>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</si>
  <si>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</si>
  <si>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</si>
  <si>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</si>
  <si>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</si>
  <si>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</si>
  <si>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</si>
  <si>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</si>
  <si>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</si>
  <si>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</si>
  <si>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</si>
  <si>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</si>
  <si>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</si>
  <si>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</si>
  <si>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</si>
  <si>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</si>
  <si>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</si>
  <si>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</si>
  <si>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</si>
  <si>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</si>
  <si>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</si>
  <si>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TIRG</t>
  </si>
  <si>
    <t>Published Stakeholder Satisfaction Ouput has been deflated to 09/10 prices</t>
  </si>
  <si>
    <t>Published Environmental Discretionary Rewards have been deflated to 09/10 prices</t>
  </si>
  <si>
    <t>Penalty only mechanism, converted to 09/10 prices</t>
  </si>
  <si>
    <t>2018/19 Stakeholder Engagement Reward has not been determined to date. Expected late 2019.</t>
  </si>
  <si>
    <t>d1</t>
  </si>
  <si>
    <t>d2</t>
  </si>
  <si>
    <t>May 2019 Publication</t>
  </si>
  <si>
    <t>Excluded Services</t>
  </si>
  <si>
    <t>Transfers of assets from customers</t>
  </si>
  <si>
    <t>2018/19 performance impacts 2020/21 allowed revenue</t>
  </si>
  <si>
    <t>Tax paid on items with no allowance</t>
  </si>
  <si>
    <t>Tax paid on Innovation revenue</t>
  </si>
  <si>
    <t>Tax paid on TIRG revenue</t>
  </si>
  <si>
    <t>Changes in corporation tax rates and capital allowances</t>
  </si>
  <si>
    <t>15/16</t>
  </si>
  <si>
    <t>Adjustment to taxable profit from 31 December year end to 31 March year end</t>
  </si>
  <si>
    <t>Corporation tax rate change adjustment</t>
  </si>
  <si>
    <t>Adjust ongoing pension costs for IAS 19 present value accrual</t>
  </si>
  <si>
    <t>Other Operating Income</t>
  </si>
  <si>
    <t xml:space="preserve">Capital Contributions for NIC </t>
  </si>
  <si>
    <t>TIRG related expenditure</t>
  </si>
  <si>
    <t>SPPS Depreciation of non-system assets</t>
  </si>
  <si>
    <t>Non Trading Rechargable Costs</t>
  </si>
  <si>
    <t>Non-System Capex</t>
  </si>
  <si>
    <t>Pensions Deficit Repair Payments</t>
  </si>
  <si>
    <t>Non Controllable Opex (Rates/Established Pension Deficit/Excluded, Consented and De Minimis Services/Pension Scheme Levy/Bad Debts)</t>
  </si>
  <si>
    <t>Innovation (NIC/NIA) Expenditure less IRM Expenditure (Reported as Price Control Totex)</t>
  </si>
  <si>
    <t>Opex Related Party Margin</t>
  </si>
  <si>
    <t>Capex Related Party Margin</t>
  </si>
  <si>
    <t>Western HVDC (profiling)</t>
  </si>
  <si>
    <t>Onshore &amp; offshore</t>
  </si>
  <si>
    <t xml:space="preserve">Baseline WiderWorks - Other </t>
  </si>
  <si>
    <t/>
  </si>
  <si>
    <t>Generation Connections (Infrastructure)</t>
  </si>
  <si>
    <t>Connections - Excluded Services</t>
  </si>
  <si>
    <t>Separated from 'Other Load'</t>
  </si>
  <si>
    <t>Other Load</t>
  </si>
  <si>
    <t>Asset Replacement</t>
  </si>
  <si>
    <t>Other Non-Load and Non-Op Capex</t>
  </si>
  <si>
    <t>Controllable Opex</t>
  </si>
  <si>
    <t>Capitalised interest added back</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</si>
  <si>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</si>
  <si>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</si>
  <si>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</si>
  <si>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</si>
  <si>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</si>
  <si>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</si>
  <si>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</si>
  <si>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</si>
  <si>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</si>
  <si>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</si>
  <si>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</si>
  <si>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</si>
  <si>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</si>
  <si>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</si>
  <si>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</si>
  <si>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</si>
  <si>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</si>
  <si>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</si>
  <si>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</si>
  <si>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</si>
  <si>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</si>
  <si>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In accordance with the RIGs we are required by Ofgem to present our financing performance in this format. The Ofgem calculation of a real interest expense is subjective.</t>
  </si>
  <si>
    <t>Out(under) performance - Ofgem view</t>
  </si>
  <si>
    <t>Out(under) performance - SPEN view</t>
  </si>
  <si>
    <r>
      <t>Based on the interest expense in our audited financial statements our interest payments are -£74.8m (</t>
    </r>
    <r>
      <rPr>
        <sz val="8"/>
        <color rgb="FF0070C0"/>
        <rFont val="Calibri"/>
        <family val="2"/>
      </rPr>
      <t>12/13 prices, actual gearing</t>
    </r>
    <r>
      <rPr>
        <sz val="11"/>
        <color rgb="FF0070C0"/>
        <rFont val="Calibri"/>
        <family val="2"/>
      </rPr>
      <t xml:space="preserve">) in excess of our allowance.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</si>
</sst>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50">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sz val="11"/>
      <color rgb="FF0070C0"/>
      <name val="Calibri"/>
      <family val="2"/>
    </font>
    <font>
      <sz val="8"/>
      <color rgb="FF0070C0"/>
      <name val="Calibri"/>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100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173"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172" fontId="0" fillId="3" borderId="72" xfId="0" applyNumberFormat="1" applyFont="1" applyFill="1" applyBorder="1" applyAlignment="1">
      <alignment horizontal="right" vertical="top"/>
    </xf>
    <xf numFmtId="1" fontId="0" fillId="0" borderId="30" xfId="0" applyNumberFormat="1" applyFont="1" applyFill="1" applyBorder="1" applyAlignment="1">
      <alignment horizontal="right" vertical="top"/>
    </xf>
    <xf numFmtId="172" fontId="0" fillId="52" borderId="30" xfId="0" applyNumberFormat="1" applyFont="1" applyFill="1" applyBorder="1" applyAlignment="1">
      <alignment horizontal="right" vertical="top"/>
    </xf>
    <xf numFmtId="172" fontId="0" fillId="3" borderId="106" xfId="0" applyNumberFormat="1" applyFill="1" applyBorder="1" applyAlignment="1">
      <alignment horizontal="right" vertical="top"/>
    </xf>
    <xf numFmtId="172" fontId="5" fillId="3" borderId="83" xfId="2" applyNumberFormat="1" applyFont="1" applyFill="1" applyBorder="1"/>
    <xf numFmtId="172" fontId="0" fillId="52" borderId="30" xfId="0" applyNumberFormat="1" applyFont="1" applyFill="1" applyBorder="1" applyAlignment="1">
      <alignment horizontal="right" vertical="center"/>
    </xf>
    <xf numFmtId="172" fontId="5" fillId="3" borderId="84" xfId="2" applyNumberFormat="1" applyFont="1" applyFill="1" applyBorder="1"/>
    <xf numFmtId="172" fontId="0" fillId="0" borderId="0" xfId="0" applyNumberFormat="1" applyFont="1"/>
    <xf numFmtId="43" fontId="5" fillId="0" borderId="0" xfId="85" applyNumberFormat="1" applyFont="1" applyFill="1" applyBorder="1" applyAlignment="1">
      <alignment horizontal="left" vertical="center" wrapText="1"/>
    </xf>
    <xf numFmtId="165" fontId="5" fillId="0" borderId="0" xfId="85" applyNumberFormat="1" applyFont="1" applyFill="1" applyBorder="1" applyAlignment="1">
      <alignment horizontal="left" vertical="center" wrapText="1"/>
    </xf>
    <xf numFmtId="0" fontId="5" fillId="0" borderId="0" xfId="85" applyFont="1" applyFill="1" applyBorder="1" applyAlignment="1">
      <alignment horizontal="left" vertical="center" wrapText="1"/>
    </xf>
    <xf numFmtId="43" fontId="0" fillId="0" borderId="0" xfId="0" applyNumberFormat="1"/>
    <xf numFmtId="0" fontId="5" fillId="0" borderId="0" xfId="0" applyFont="1"/>
    <xf numFmtId="0" fontId="248" fillId="0" borderId="0" xfId="0" applyFont="1" applyAlignment="1">
      <alignment vertical="center"/>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6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FF"/>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01759/PU797_Forecast_for_the_UK_Economy_May_2019_covers.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7.125" customWidth="1"/>
    <col min="3" max="6" width="14.125" customWidth="1"/>
    <col min="7" max="7" width="14.125" style="221" customWidth="1"/>
    <col min="8" max="11" width="14.125" customWidth="1"/>
  </cols>
  <sheetData>
    <row r="1" spans="1:11" s="32" customFormat="1" ht="20.25">
      <c r="A1" s="30" t="s">
        <v>308</v>
      </c>
      <c r="B1" s="28"/>
      <c r="C1" s="28"/>
      <c r="D1" s="261"/>
      <c r="E1" s="262"/>
      <c r="F1" s="28"/>
      <c r="G1" s="572"/>
      <c r="H1" s="28"/>
      <c r="I1" s="28"/>
      <c r="J1" s="28"/>
      <c r="K1" s="28"/>
    </row>
    <row r="2" spans="1:11" s="32" customFormat="1" ht="20.25">
      <c r="A2" s="30" t="str">
        <f>'RFPR cover'!C5</f>
        <v>SPT</v>
      </c>
      <c r="B2" s="28"/>
      <c r="C2" s="28"/>
      <c r="D2" s="262"/>
      <c r="E2" s="262"/>
      <c r="F2" s="28"/>
      <c r="G2" s="572"/>
      <c r="H2" s="28"/>
      <c r="I2" s="28"/>
      <c r="J2" s="28"/>
      <c r="K2" s="28"/>
    </row>
    <row r="3" spans="1:11" s="32" customFormat="1" ht="20.25">
      <c r="A3" s="30">
        <f>'RFPR cover'!C7</f>
        <v>2019</v>
      </c>
      <c r="B3" s="28"/>
      <c r="C3" s="28"/>
      <c r="D3" s="262"/>
      <c r="E3" s="262"/>
      <c r="F3" s="28"/>
      <c r="G3" s="572"/>
      <c r="H3" s="28"/>
      <c r="I3" s="28"/>
      <c r="J3" s="28"/>
      <c r="K3" s="28"/>
    </row>
    <row r="4" spans="1:11" ht="14.25">
      <c r="A4" s="31"/>
      <c r="B4" s="31"/>
      <c r="C4" s="31"/>
      <c r="D4" s="31"/>
      <c r="E4" s="31"/>
      <c r="H4" s="10"/>
      <c r="I4" s="10"/>
      <c r="J4" s="10"/>
    </row>
    <row r="5" spans="1:11" ht="13.5" customHeight="1">
      <c r="A5" s="31"/>
      <c r="B5" s="77" t="s">
        <v>62</v>
      </c>
      <c r="C5" s="46" t="s">
        <v>60</v>
      </c>
      <c r="D5" s="354"/>
      <c r="E5" s="19"/>
      <c r="F5" s="11"/>
      <c r="G5" s="573" t="s">
        <v>0</v>
      </c>
      <c r="H5" s="10"/>
      <c r="I5" s="10"/>
      <c r="J5" s="10"/>
    </row>
    <row r="6" spans="1:11" ht="13.5" customHeight="1">
      <c r="A6" s="31"/>
      <c r="B6" s="77" t="s">
        <v>189</v>
      </c>
      <c r="C6" s="82" t="str">
        <f>INDEX(Data!$A$73:$A$100,MATCH($C$5,Data!$B$73:$B$100,0),0)&amp;"1"</f>
        <v>ET1</v>
      </c>
      <c r="D6" s="19"/>
      <c r="E6" s="19"/>
      <c r="F6" s="9"/>
      <c r="G6" s="573" t="s">
        <v>1</v>
      </c>
      <c r="H6" s="10"/>
      <c r="I6" s="10"/>
      <c r="J6" s="10"/>
    </row>
    <row r="7" spans="1:11" ht="25.5">
      <c r="A7" s="31"/>
      <c r="B7" s="78" t="s">
        <v>188</v>
      </c>
      <c r="C7" s="83">
        <v>2019</v>
      </c>
      <c r="D7" s="18"/>
      <c r="E7" s="19"/>
      <c r="F7" s="8"/>
      <c r="G7" s="574" t="s">
        <v>2</v>
      </c>
      <c r="H7" s="10"/>
      <c r="I7" s="10"/>
      <c r="J7" s="10"/>
    </row>
    <row r="8" spans="1:11" ht="14.25">
      <c r="A8" s="31"/>
      <c r="B8" s="77" t="s">
        <v>37</v>
      </c>
      <c r="C8" s="84"/>
      <c r="D8" s="19"/>
      <c r="E8" s="18"/>
      <c r="F8" s="7"/>
      <c r="G8" s="573" t="s">
        <v>3</v>
      </c>
      <c r="H8" s="10"/>
      <c r="I8" s="10"/>
      <c r="J8" s="10"/>
    </row>
    <row r="9" spans="1:11" ht="14.25">
      <c r="A9" s="31"/>
      <c r="B9" s="77" t="s">
        <v>38</v>
      </c>
      <c r="C9" s="85"/>
      <c r="D9" s="18"/>
      <c r="E9" s="18"/>
      <c r="F9" s="6"/>
      <c r="G9" s="573" t="s">
        <v>4</v>
      </c>
      <c r="H9" s="10"/>
      <c r="I9" s="10"/>
      <c r="J9" s="10"/>
    </row>
    <row r="10" spans="1:11" ht="14.25">
      <c r="A10" s="31"/>
      <c r="B10" s="77" t="s">
        <v>70</v>
      </c>
      <c r="C10" s="86">
        <f>SUMIF(Data!$B$72:$B$100,C5,Data!$C$72:$C$100)</f>
        <v>7.0000000000000007E-2</v>
      </c>
      <c r="D10" s="18"/>
      <c r="E10" s="18"/>
      <c r="F10" s="5"/>
      <c r="G10" s="573" t="s">
        <v>5</v>
      </c>
      <c r="H10" s="10"/>
      <c r="I10" s="10"/>
      <c r="J10" s="10"/>
    </row>
    <row r="11" spans="1:11" ht="14.25">
      <c r="A11" s="31"/>
      <c r="B11" s="77" t="s">
        <v>71</v>
      </c>
      <c r="C11" s="87">
        <f>SUMIF(Data!$B$72:$B$100,C5,Data!$D$72:$D$100)</f>
        <v>0.5</v>
      </c>
      <c r="D11" s="19"/>
      <c r="E11" s="19"/>
      <c r="F11" s="4"/>
      <c r="G11" s="573" t="s">
        <v>6</v>
      </c>
      <c r="H11" s="10"/>
      <c r="I11" s="10"/>
      <c r="J11" s="10"/>
    </row>
    <row r="12" spans="1:11">
      <c r="A12" s="31"/>
      <c r="B12" s="77" t="s">
        <v>115</v>
      </c>
      <c r="C12" s="86">
        <f>SUMIF(Data!$B$72:$B$100,C5,Data!$E$72:$E$100)</f>
        <v>0.55000000000000004</v>
      </c>
      <c r="D12" s="18"/>
      <c r="E12" s="18"/>
      <c r="F12" s="18"/>
      <c r="G12" s="575"/>
    </row>
    <row r="13" spans="1:11">
      <c r="A13" s="31"/>
      <c r="B13" s="77" t="s">
        <v>496</v>
      </c>
      <c r="C13" s="82">
        <f>INDEX(Data!$G$73:$G$100,MATCH($C$5,Data!$B$73:$B$100,0),0)</f>
        <v>2014</v>
      </c>
      <c r="D13" s="18"/>
      <c r="E13" s="18"/>
      <c r="F13" s="76" t="s">
        <v>191</v>
      </c>
    </row>
    <row r="14" spans="1:11">
      <c r="A14" s="31"/>
      <c r="B14" s="79" t="s">
        <v>185</v>
      </c>
      <c r="C14" s="82" t="str">
        <f>INDEX(Data!$H$73:$H$100,MATCH($C$5,Data!$B$73:$B$100,0),0)</f>
        <v>£m 09/10</v>
      </c>
      <c r="D14" s="18"/>
      <c r="E14" s="18"/>
      <c r="F14" s="89">
        <v>0.1</v>
      </c>
      <c r="G14" s="575"/>
    </row>
    <row r="15" spans="1:11">
      <c r="A15" s="31"/>
      <c r="B15" s="18"/>
      <c r="C15" s="18"/>
      <c r="D15" s="18"/>
      <c r="E15" s="18"/>
      <c r="F15" s="18"/>
      <c r="G15" s="575"/>
    </row>
    <row r="85" spans="1:1">
      <c r="A85" s="212"/>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2.75"/>
  <cols>
    <col min="1" max="1" width="8.375" customWidth="1"/>
    <col min="2" max="2" width="35.125" customWidth="1"/>
    <col min="8" max="8" width="10.125" bestFit="1" customWidth="1"/>
    <col min="14" max="14" width="9" customWidth="1"/>
  </cols>
  <sheetData>
    <row r="1" spans="1:14" ht="20.25">
      <c r="A1" s="379" t="s">
        <v>362</v>
      </c>
      <c r="B1" s="426"/>
      <c r="C1" s="426"/>
      <c r="D1" s="426"/>
      <c r="E1" s="426"/>
      <c r="F1" s="426"/>
      <c r="G1" s="426"/>
      <c r="H1" s="426"/>
      <c r="I1" s="426"/>
      <c r="J1" s="426"/>
      <c r="K1" s="426"/>
      <c r="L1" s="426"/>
      <c r="M1" s="426"/>
      <c r="N1" s="427"/>
    </row>
    <row r="2" spans="1:14" ht="20.25">
      <c r="A2" s="124" t="str">
        <f>'RFPR cover'!C5</f>
        <v>SPT</v>
      </c>
      <c r="B2" s="310"/>
      <c r="C2" s="310"/>
      <c r="D2" s="310"/>
      <c r="E2" s="310"/>
      <c r="F2" s="310"/>
      <c r="G2" s="310"/>
      <c r="H2" s="310"/>
      <c r="I2" s="310"/>
      <c r="J2" s="310"/>
      <c r="K2" s="310"/>
      <c r="L2" s="310"/>
      <c r="M2" s="310"/>
      <c r="N2" s="311"/>
    </row>
    <row r="3" spans="1:14" ht="20.25">
      <c r="A3" s="269">
        <f>'RFPR cover'!C7</f>
        <v>2019</v>
      </c>
      <c r="B3" s="312"/>
      <c r="C3" s="312"/>
      <c r="D3" s="312"/>
      <c r="E3" s="312"/>
      <c r="F3" s="312"/>
      <c r="G3" s="312"/>
      <c r="H3" s="312"/>
      <c r="I3" s="312"/>
      <c r="J3" s="312"/>
      <c r="K3" s="312"/>
      <c r="L3" s="312"/>
      <c r="M3" s="312"/>
      <c r="N3" s="313"/>
    </row>
    <row r="6" spans="1:14">
      <c r="A6" s="31"/>
      <c r="B6" s="21">
        <v>2018</v>
      </c>
      <c r="C6" s="20" t="s">
        <v>63</v>
      </c>
      <c r="D6" s="18"/>
      <c r="E6" s="18"/>
      <c r="F6" s="872"/>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6" t="s">
        <v>39</v>
      </c>
      <c r="C13" s="577" t="s">
        <v>40</v>
      </c>
      <c r="D13" s="577" t="s">
        <v>192</v>
      </c>
      <c r="E13" s="577" t="s">
        <v>41</v>
      </c>
      <c r="F13" s="577" t="s">
        <v>42</v>
      </c>
      <c r="G13" s="578" t="s">
        <v>321</v>
      </c>
    </row>
    <row r="14" spans="1:14">
      <c r="A14" s="31"/>
      <c r="B14" s="168" t="s">
        <v>74</v>
      </c>
      <c r="C14" s="176">
        <v>2010</v>
      </c>
      <c r="D14" s="169" t="str">
        <f>IF(VALUE(C14)&lt;='RFPR cover'!$C$7,"Actual","Forecast")</f>
        <v>Actual</v>
      </c>
      <c r="E14" s="391">
        <v>215.767</v>
      </c>
      <c r="F14" s="521">
        <v>221.75</v>
      </c>
      <c r="G14" s="170">
        <v>0.28000000000000003</v>
      </c>
      <c r="H14" s="873"/>
      <c r="J14" s="874"/>
    </row>
    <row r="15" spans="1:14">
      <c r="A15" s="31"/>
      <c r="B15" s="171" t="s">
        <v>75</v>
      </c>
      <c r="C15" s="177">
        <v>2011</v>
      </c>
      <c r="D15" s="172" t="str">
        <f>IF(VALUE(C15)&lt;='RFPR cover'!$C$7,"Actual","Forecast")</f>
        <v>Actual</v>
      </c>
      <c r="E15" s="392">
        <v>226.47499999999999</v>
      </c>
      <c r="F15" s="522">
        <v>233.45</v>
      </c>
      <c r="G15" s="173">
        <v>0.28000000000000003</v>
      </c>
      <c r="H15" s="873"/>
      <c r="J15" s="874"/>
    </row>
    <row r="16" spans="1:14" ht="14.25" customHeight="1">
      <c r="A16" s="31"/>
      <c r="B16" s="171" t="s">
        <v>76</v>
      </c>
      <c r="C16" s="177">
        <v>2012</v>
      </c>
      <c r="D16" s="172" t="str">
        <f>IF(VALUE(C16)&lt;='RFPR cover'!$C$7,"Actual","Forecast")</f>
        <v>Actual</v>
      </c>
      <c r="E16" s="392">
        <v>237.34200000000001</v>
      </c>
      <c r="F16" s="522">
        <v>241.65</v>
      </c>
      <c r="G16" s="173">
        <v>0.26</v>
      </c>
      <c r="H16" s="873"/>
      <c r="J16" s="874"/>
    </row>
    <row r="17" spans="2:10">
      <c r="B17" s="171" t="s">
        <v>77</v>
      </c>
      <c r="C17" s="177">
        <v>2013</v>
      </c>
      <c r="D17" s="172" t="str">
        <f>IF(VALUE(C17)&lt;='RFPR cover'!$C$7,"Actual","Forecast")</f>
        <v>Actual</v>
      </c>
      <c r="E17" s="392">
        <v>244.67500000000001</v>
      </c>
      <c r="F17" s="522">
        <v>249.1</v>
      </c>
      <c r="G17" s="173">
        <v>0.24</v>
      </c>
      <c r="H17" s="873"/>
      <c r="J17" s="874"/>
    </row>
    <row r="18" spans="2:10">
      <c r="B18" s="171" t="s">
        <v>78</v>
      </c>
      <c r="C18" s="177">
        <v>2014</v>
      </c>
      <c r="D18" s="172" t="str">
        <f>IF(VALUE(C18)&lt;='RFPR cover'!$C$7,"Actual","Forecast")</f>
        <v>Actual</v>
      </c>
      <c r="E18" s="392">
        <v>251.733</v>
      </c>
      <c r="F18" s="522">
        <v>255.25</v>
      </c>
      <c r="G18" s="173">
        <v>0.23</v>
      </c>
      <c r="H18" s="873"/>
      <c r="I18" s="541"/>
      <c r="J18" s="874"/>
    </row>
    <row r="19" spans="2:10">
      <c r="B19" s="171" t="s">
        <v>79</v>
      </c>
      <c r="C19" s="177">
        <v>2015</v>
      </c>
      <c r="D19" s="172" t="str">
        <f>IF(VALUE(C19)&lt;='RFPR cover'!$C$7,"Actual","Forecast")</f>
        <v>Actual</v>
      </c>
      <c r="E19" s="392">
        <v>256.66699999999997</v>
      </c>
      <c r="F19" s="522">
        <v>257.55</v>
      </c>
      <c r="G19" s="173">
        <v>0.21</v>
      </c>
      <c r="H19" s="873"/>
      <c r="I19" s="541"/>
      <c r="J19" s="874"/>
    </row>
    <row r="20" spans="2:10">
      <c r="B20" s="171" t="s">
        <v>80</v>
      </c>
      <c r="C20" s="177">
        <v>2016</v>
      </c>
      <c r="D20" s="172" t="str">
        <f>IF(VALUE(C20)&lt;='RFPR cover'!$C$7,"Actual","Forecast")</f>
        <v>Actual</v>
      </c>
      <c r="E20" s="392">
        <v>259.43299999999999</v>
      </c>
      <c r="F20" s="522">
        <v>261.25</v>
      </c>
      <c r="G20" s="173">
        <v>0.2</v>
      </c>
      <c r="H20" s="873"/>
      <c r="I20" s="541"/>
      <c r="J20" s="874"/>
    </row>
    <row r="21" spans="2:10">
      <c r="B21" s="171" t="s">
        <v>81</v>
      </c>
      <c r="C21" s="177">
        <v>2017</v>
      </c>
      <c r="D21" s="172" t="str">
        <f>IF(VALUE(C21)&lt;='RFPR cover'!$C$7,"Actual","Forecast")</f>
        <v>Actual</v>
      </c>
      <c r="E21" s="392">
        <v>264.99200000000002</v>
      </c>
      <c r="F21" s="522">
        <v>269.95000000000005</v>
      </c>
      <c r="G21" s="173">
        <v>0.2</v>
      </c>
      <c r="H21" s="873"/>
      <c r="I21" s="541"/>
      <c r="J21" s="874"/>
    </row>
    <row r="22" spans="2:10">
      <c r="B22" s="171" t="s">
        <v>63</v>
      </c>
      <c r="C22" s="177">
        <v>2018</v>
      </c>
      <c r="D22" s="172" t="str">
        <f>IF(VALUE(C22)&lt;='RFPR cover'!$C$7,"Actual","Forecast")</f>
        <v>Actual</v>
      </c>
      <c r="E22" s="392">
        <v>274.90800000000002</v>
      </c>
      <c r="F22" s="522">
        <v>279</v>
      </c>
      <c r="G22" s="173">
        <v>0.19</v>
      </c>
      <c r="H22" s="873"/>
      <c r="I22" s="541"/>
      <c r="J22" s="874"/>
    </row>
    <row r="23" spans="2:10">
      <c r="B23" s="524" t="s">
        <v>64</v>
      </c>
      <c r="C23" s="525">
        <v>2019</v>
      </c>
      <c r="D23" s="172" t="str">
        <f>IF(VALUE(C23)&lt;='RFPR cover'!$C$7,"Actual","Forecast")</f>
        <v>Actual</v>
      </c>
      <c r="E23" s="392">
        <v>283.30799999999999</v>
      </c>
      <c r="F23" s="522">
        <v>286.64999999999998</v>
      </c>
      <c r="G23" s="173">
        <v>0.19</v>
      </c>
      <c r="H23" s="873"/>
      <c r="J23" s="874"/>
    </row>
    <row r="24" spans="2:10">
      <c r="B24" s="524" t="s">
        <v>65</v>
      </c>
      <c r="C24" s="525">
        <v>2020</v>
      </c>
      <c r="D24" s="172" t="str">
        <f>IF(VALUE(C24)&lt;='RFPR cover'!$C$7,"Actual","Forecast")</f>
        <v>Forecast</v>
      </c>
      <c r="E24" s="523">
        <f t="shared" ref="E24:F27" si="0">E23*(1+INDEX($D$43:$J$43,0,MATCH($C24,$D$42:$J$42,0)))</f>
        <v>290.74483500000002</v>
      </c>
      <c r="F24" s="523">
        <f t="shared" si="0"/>
        <v>294.17456249999998</v>
      </c>
      <c r="G24" s="173">
        <v>0.19</v>
      </c>
      <c r="H24" s="873"/>
      <c r="J24" s="874"/>
    </row>
    <row r="25" spans="2:10">
      <c r="B25" s="524" t="s">
        <v>66</v>
      </c>
      <c r="C25" s="525">
        <v>2021</v>
      </c>
      <c r="D25" s="172" t="str">
        <f>IF(VALUE(C25)&lt;='RFPR cover'!$C$7,"Actual","Forecast")</f>
        <v>Forecast</v>
      </c>
      <c r="E25" s="523">
        <f t="shared" si="0"/>
        <v>298.81300417124999</v>
      </c>
      <c r="F25" s="523">
        <f t="shared" si="0"/>
        <v>302.33790660937495</v>
      </c>
      <c r="G25" s="173">
        <v>0.17</v>
      </c>
      <c r="H25" s="873"/>
      <c r="J25" s="874"/>
    </row>
    <row r="26" spans="2:10">
      <c r="B26" s="524" t="s">
        <v>67</v>
      </c>
      <c r="C26" s="525">
        <v>2022</v>
      </c>
      <c r="D26" s="172" t="str">
        <f>IF(VALUE(C26)&lt;='RFPR cover'!$C$7,"Actual","Forecast")</f>
        <v>Forecast</v>
      </c>
      <c r="E26" s="523">
        <f t="shared" si="0"/>
        <v>307.85209754743033</v>
      </c>
      <c r="F26" s="523">
        <f t="shared" si="0"/>
        <v>311.48362828430857</v>
      </c>
      <c r="G26" s="173">
        <v>0.17</v>
      </c>
      <c r="H26" s="873"/>
      <c r="J26" s="874"/>
    </row>
    <row r="27" spans="2:10">
      <c r="B27" s="524" t="s">
        <v>68</v>
      </c>
      <c r="C27" s="525">
        <v>2023</v>
      </c>
      <c r="D27" s="172" t="str">
        <f>IF(VALUE(C27)&lt;='RFPR cover'!$C$7,"Actual","Forecast")</f>
        <v>Forecast</v>
      </c>
      <c r="E27" s="523">
        <f t="shared" si="0"/>
        <v>317.31854954701384</v>
      </c>
      <c r="F27" s="523">
        <f t="shared" si="0"/>
        <v>321.06174985405107</v>
      </c>
      <c r="G27" s="173">
        <v>0.17</v>
      </c>
      <c r="H27" s="873"/>
      <c r="J27" s="874"/>
    </row>
    <row r="28" spans="2:10">
      <c r="B28" s="524" t="s">
        <v>205</v>
      </c>
      <c r="C28" s="525">
        <v>2024</v>
      </c>
      <c r="D28" s="172" t="str">
        <f>IF(VALUE(C28)&lt;='RFPR cover'!$C$7,"Actual","Forecast")</f>
        <v>Forecast</v>
      </c>
      <c r="E28" s="394"/>
      <c r="F28" s="394"/>
      <c r="G28" s="173">
        <v>0.17</v>
      </c>
    </row>
    <row r="29" spans="2:10">
      <c r="B29" s="524" t="s">
        <v>206</v>
      </c>
      <c r="C29" s="525">
        <v>2025</v>
      </c>
      <c r="D29" s="172" t="str">
        <f>IF(VALUE(C29)&lt;='RFPR cover'!$C$7,"Actual","Forecast")</f>
        <v>Forecast</v>
      </c>
      <c r="E29" s="394"/>
      <c r="F29" s="394"/>
      <c r="G29" s="173">
        <v>0.17</v>
      </c>
    </row>
    <row r="30" spans="2:10">
      <c r="B30" s="526" t="s">
        <v>207</v>
      </c>
      <c r="C30" s="527">
        <v>2026</v>
      </c>
      <c r="D30" s="174" t="str">
        <f>IF(VALUE(C30)&lt;='RFPR cover'!$C$7,"Actual","Forecast")</f>
        <v>Forecast</v>
      </c>
      <c r="E30" s="393"/>
      <c r="F30" s="393"/>
      <c r="G30" s="175">
        <v>0.17</v>
      </c>
    </row>
    <row r="31" spans="2:10">
      <c r="B31" s="88"/>
      <c r="C31" s="66"/>
      <c r="D31" s="66"/>
      <c r="E31" s="66"/>
      <c r="F31" s="66"/>
    </row>
    <row r="32" spans="2:10">
      <c r="B32" s="88"/>
      <c r="C32" s="358" t="str">
        <f>IF(C33&lt;='RFPR cover'!$C$7,"Actuals","Forecast")</f>
        <v>Actuals</v>
      </c>
      <c r="D32" s="359" t="str">
        <f>IF(D33&lt;='RFPR cover'!$C$7,"Actuals","Forecast")</f>
        <v>Actuals</v>
      </c>
      <c r="E32" s="359" t="str">
        <f>IF(E33&lt;='RFPR cover'!$C$7,"Actuals","Forecast")</f>
        <v>Actuals</v>
      </c>
      <c r="F32" s="359" t="str">
        <f>IF(F33&lt;='RFPR cover'!$C$7,"Actuals","Forecast")</f>
        <v>Actuals</v>
      </c>
      <c r="G32" s="359" t="str">
        <f>IF(G33&lt;='RFPR cover'!$C$7,"Actuals","Forecast")</f>
        <v>Actuals</v>
      </c>
      <c r="H32" s="359" t="str">
        <f>IF(H33&lt;='RFPR cover'!$C$7,"Actuals","Forecast")</f>
        <v>Actuals</v>
      </c>
      <c r="I32" s="359" t="str">
        <f>IF(I33&lt;='RFPR cover'!$C$7,"Actuals","Forecast")</f>
        <v>Forecast</v>
      </c>
      <c r="J32" s="360" t="str">
        <f>IF(J33&lt;='RFPR cover'!$C$7,"Actuals","Forecast")</f>
        <v>Forecast</v>
      </c>
    </row>
    <row r="33" spans="2:13" ht="15.75" customHeight="1">
      <c r="B33" s="300"/>
      <c r="C33" s="90">
        <f>'RFPR cover'!$C$13</f>
        <v>2014</v>
      </c>
      <c r="D33" s="91">
        <f t="shared" ref="D33:J33" si="1">C33+1</f>
        <v>2015</v>
      </c>
      <c r="E33" s="91">
        <f t="shared" si="1"/>
        <v>2016</v>
      </c>
      <c r="F33" s="91">
        <f t="shared" si="1"/>
        <v>2017</v>
      </c>
      <c r="G33" s="91">
        <f t="shared" si="1"/>
        <v>2018</v>
      </c>
      <c r="H33" s="91">
        <f t="shared" si="1"/>
        <v>2019</v>
      </c>
      <c r="I33" s="91">
        <f t="shared" si="1"/>
        <v>2020</v>
      </c>
      <c r="J33" s="331">
        <f t="shared" si="1"/>
        <v>2021</v>
      </c>
    </row>
    <row r="34" spans="2:13" ht="15.75" customHeight="1">
      <c r="B34" s="519" t="s">
        <v>363</v>
      </c>
      <c r="C34" s="517">
        <f>INDEX(Data!$E$14:$E$30,MATCH(C$33,Data!$C$14:$C$30,0),0)/IF('RFPR cover'!$C$6="ED1",Data!$E$17,Data!$E$14)</f>
        <v>1.1666890673736021</v>
      </c>
      <c r="D34" s="514">
        <f>INDEX(Data!$E$14:$E$30,MATCH(D$33,Data!$C$14:$C$30,0),0)/IF('RFPR cover'!$C$6="ED1",Data!$E$17,Data!$E$14)</f>
        <v>1.1895563269638081</v>
      </c>
      <c r="E34" s="514">
        <f>INDEX(Data!$E$14:$E$30,MATCH(E$33,Data!$C$14:$C$30,0),0)/IF('RFPR cover'!$C$6="ED1",Data!$E$17,Data!$E$14)</f>
        <v>1.2023757108362261</v>
      </c>
      <c r="F34" s="514">
        <f>INDEX(Data!$E$14:$E$30,MATCH(F$33,Data!$C$14:$C$30,0),0)/IF('RFPR cover'!$C$6="ED1",Data!$E$17,Data!$E$14)</f>
        <v>1.2281396135646323</v>
      </c>
      <c r="G34" s="514">
        <f>INDEX(Data!$E$14:$E$30,MATCH(G$33,Data!$C$14:$C$30,0),0)/IF('RFPR cover'!$C$6="ED1",Data!$E$17,Data!$E$14)</f>
        <v>1.2740965949380583</v>
      </c>
      <c r="H34" s="514">
        <f>INDEX(Data!$E$14:$E$30,MATCH(H$33,Data!$C$14:$C$30,0),0)/IF('RFPR cover'!$C$6="ED1",Data!$E$17,Data!$E$14)</f>
        <v>1.3130274787154661</v>
      </c>
      <c r="I34" s="515">
        <f>INDEX(Data!$E$14:$E$30,MATCH(I$33,Data!$C$14:$C$30,0),0)/IF('RFPR cover'!$C$6="ED1",Data!$E$17,Data!$E$14)</f>
        <v>1.3474944500317474</v>
      </c>
      <c r="J34" s="516">
        <f>INDEX(Data!$E$14:$E$30,MATCH(J$33,Data!$C$14:$C$30,0),0)/IF('RFPR cover'!$C$6="ED1",Data!$E$17,Data!$E$14)</f>
        <v>1.3848874210201281</v>
      </c>
    </row>
    <row r="35" spans="2:13" ht="15.75" customHeight="1">
      <c r="B35" s="520" t="s">
        <v>42</v>
      </c>
      <c r="C35" s="518">
        <f>INDEX(Data!$F$14:$F$30,MATCH(C$33,Data!$C$14:$C$30,0),0)/IF('RFPR cover'!$C$6="ED1",Data!$E$17,Data!$E$14)</f>
        <v>1.1829890576408812</v>
      </c>
      <c r="D35" s="518">
        <f>INDEX(Data!$F$14:$F$30,MATCH(D$33,Data!$C$14:$C$30,0),0)/IF('RFPR cover'!$C$6="ED1",Data!$E$17,Data!$E$14)</f>
        <v>1.1936487043894572</v>
      </c>
      <c r="E35" s="518">
        <f>INDEX(Data!$F$14:$F$30,MATCH(E$33,Data!$C$14:$C$30,0),0)/IF('RFPR cover'!$C$6="ED1",Data!$E$17,Data!$E$14)</f>
        <v>1.2107968317676012</v>
      </c>
      <c r="F35" s="518">
        <f>INDEX(Data!$F$14:$F$30,MATCH(F$33,Data!$C$14:$C$30,0),0)/IF('RFPR cover'!$C$6="ED1",Data!$E$17,Data!$E$14)</f>
        <v>1.2511181042513455</v>
      </c>
      <c r="G35" s="518">
        <f>INDEX(Data!$F$14:$F$30,MATCH(G$33,Data!$C$14:$C$30,0),0)/IF('RFPR cover'!$C$6="ED1",Data!$E$17,Data!$E$14)</f>
        <v>1.2930614968924812</v>
      </c>
      <c r="H35" s="518">
        <f>INDEX(Data!$F$14:$F$30,MATCH(H$33,Data!$C$14:$C$30,0),0)/IF('RFPR cover'!$C$6="ED1",Data!$E$17,Data!$E$14)</f>
        <v>1.3285164089040491</v>
      </c>
      <c r="I35" s="518">
        <f>INDEX(Data!$F$14:$F$30,MATCH(I$33,Data!$C$14:$C$30,0),0)/IF('RFPR cover'!$C$6="ED1",Data!$E$17,Data!$E$14)</f>
        <v>1.3633899646377805</v>
      </c>
      <c r="J35" s="518">
        <f>INDEX(Data!$F$14:$F$30,MATCH(J$33,Data!$C$14:$C$30,0),0)/IF('RFPR cover'!$C$6="ED1",Data!$E$17,Data!$E$14)</f>
        <v>1.4012240361564787</v>
      </c>
    </row>
    <row r="36" spans="2:13">
      <c r="B36" s="520" t="s">
        <v>492</v>
      </c>
      <c r="C36" s="518">
        <f>INDEX(Data!$E$14:$E$30,MATCH(C$33,Data!$C$14:$C$30,0))/INDEX(Data!$E$14:$E$30,MATCH(C$33-1,Data!$C$14:$C$30,0))</f>
        <v>1.0288464289363441</v>
      </c>
      <c r="D36" s="518">
        <f>INDEX(Data!$E$14:$E$30,MATCH(D$33,Data!$C$14:$C$30,0))/INDEX(Data!$E$14:$E$30,MATCH(D$33-1,Data!$C$14:$C$30,0))</f>
        <v>1.0196001318857677</v>
      </c>
      <c r="E36" s="518">
        <f>INDEX(Data!$E$14:$E$30,MATCH(E$33,Data!$C$14:$C$30,0))/INDEX(Data!$E$14:$E$30,MATCH(E$33-1,Data!$C$14:$C$30,0))</f>
        <v>1.0107766093810269</v>
      </c>
      <c r="F36" s="518">
        <f>INDEX(Data!$E$14:$E$30,MATCH(F$33,Data!$C$14:$C$30,0))/INDEX(Data!$E$14:$E$30,MATCH(F$33-1,Data!$C$14:$C$30,0))</f>
        <v>1.0214274976583551</v>
      </c>
      <c r="G36" s="518">
        <f>INDEX(Data!$E$14:$E$30,MATCH(G$33,Data!$C$14:$C$30,0))/INDEX(Data!$E$14:$E$30,MATCH(G$33-1,Data!$C$14:$C$30,0))</f>
        <v>1.0374199975848328</v>
      </c>
      <c r="H36" s="518">
        <f>INDEX(Data!$E$14:$E$30,MATCH(H$33,Data!$C$14:$C$30,0))/INDEX(Data!$E$14:$E$30,MATCH(H$33-1,Data!$C$14:$C$30,0))</f>
        <v>1.0305556768082411</v>
      </c>
      <c r="I36" s="518">
        <f>INDEX(Data!$E$14:$E$30,MATCH(I$33,Data!$C$14:$C$30,0))/INDEX(Data!$E$14:$E$30,MATCH(I$33-1,Data!$C$14:$C$30,0))</f>
        <v>1.0262500000000001</v>
      </c>
      <c r="J36" s="518">
        <f>INDEX(Data!$E$14:$E$30,MATCH(J$33,Data!$C$14:$C$30,0))/INDEX(Data!$E$14:$E$30,MATCH(J$33-1,Data!$C$14:$C$30,0))</f>
        <v>1.0277499999999999</v>
      </c>
    </row>
    <row r="37" spans="2:13" ht="15.75" customHeight="1">
      <c r="B37" s="14" t="s">
        <v>275</v>
      </c>
      <c r="F37" s="541"/>
    </row>
    <row r="38" spans="2:13">
      <c r="C38" s="534" t="s">
        <v>276</v>
      </c>
      <c r="D38" s="117">
        <v>2017</v>
      </c>
      <c r="E38" s="118">
        <f t="shared" ref="E38:J38" si="2">D38+1</f>
        <v>2018</v>
      </c>
      <c r="F38" s="118">
        <f t="shared" si="2"/>
        <v>2019</v>
      </c>
      <c r="G38" s="118">
        <f t="shared" si="2"/>
        <v>2020</v>
      </c>
      <c r="H38" s="118">
        <f t="shared" si="2"/>
        <v>2021</v>
      </c>
      <c r="I38" s="118">
        <f t="shared" si="2"/>
        <v>2022</v>
      </c>
      <c r="J38" s="202">
        <f t="shared" si="2"/>
        <v>2023</v>
      </c>
      <c r="K38" s="969" t="s">
        <v>372</v>
      </c>
      <c r="L38" s="969"/>
      <c r="M38" s="969"/>
    </row>
    <row r="39" spans="2:13">
      <c r="B39" t="s">
        <v>373</v>
      </c>
      <c r="C39" s="208"/>
      <c r="D39" s="790"/>
      <c r="E39" s="790"/>
      <c r="F39" s="791">
        <v>2.5999999999999999E-2</v>
      </c>
      <c r="G39" s="791">
        <v>2.7E-2</v>
      </c>
      <c r="H39" s="791">
        <v>0.03</v>
      </c>
      <c r="I39" s="791">
        <v>3.1E-2</v>
      </c>
      <c r="J39" s="792">
        <v>0.03</v>
      </c>
      <c r="K39" s="970" t="s">
        <v>528</v>
      </c>
      <c r="L39" s="970"/>
      <c r="M39" s="970"/>
    </row>
    <row r="41" spans="2:13">
      <c r="B41" s="14" t="s">
        <v>277</v>
      </c>
    </row>
    <row r="42" spans="2:13">
      <c r="C42" s="533" t="s">
        <v>278</v>
      </c>
      <c r="D42" s="117">
        <v>2017</v>
      </c>
      <c r="E42" s="118">
        <f t="shared" ref="E42:J42" si="3">D42+1</f>
        <v>2018</v>
      </c>
      <c r="F42" s="118">
        <f t="shared" si="3"/>
        <v>2019</v>
      </c>
      <c r="G42" s="118">
        <f t="shared" si="3"/>
        <v>2020</v>
      </c>
      <c r="H42" s="118">
        <f t="shared" si="3"/>
        <v>2021</v>
      </c>
      <c r="I42" s="118">
        <f t="shared" si="3"/>
        <v>2022</v>
      </c>
      <c r="J42" s="202">
        <f t="shared" si="3"/>
        <v>2023</v>
      </c>
    </row>
    <row r="43" spans="2:13">
      <c r="B43" t="s">
        <v>279</v>
      </c>
      <c r="D43" s="595"/>
      <c r="E43" s="596"/>
      <c r="F43" s="596"/>
      <c r="G43" s="793">
        <f>(F39*0.75)+(G39*0.25)</f>
        <v>2.6249999999999999E-2</v>
      </c>
      <c r="H43" s="793">
        <f>(G39*0.75)+(H39*0.25)</f>
        <v>2.775E-2</v>
      </c>
      <c r="I43" s="793">
        <f>(H39*0.75)+(I39*0.25)</f>
        <v>3.0249999999999999E-2</v>
      </c>
      <c r="J43" s="794">
        <f>(I39*0.75)+(J39*0.25)</f>
        <v>3.075E-2</v>
      </c>
    </row>
    <row r="45" spans="2:13">
      <c r="B45" s="330" t="str">
        <f>"Selected Capitalisation rates for "&amp;'RFPR cover'!C5</f>
        <v>Selected Capitalisation rates for SPT</v>
      </c>
      <c r="C45" s="281"/>
      <c r="D45" s="281"/>
      <c r="E45" s="281"/>
      <c r="F45" s="281"/>
      <c r="G45" s="281"/>
      <c r="H45" s="281"/>
      <c r="I45" s="281"/>
      <c r="J45" s="281"/>
      <c r="K45" s="281"/>
      <c r="L45" s="281"/>
      <c r="M45" s="295"/>
    </row>
    <row r="46" spans="2:13">
      <c r="B46" s="209"/>
      <c r="C46" s="43"/>
      <c r="D46" s="43"/>
      <c r="E46" s="43"/>
      <c r="F46" s="43"/>
      <c r="G46" s="43"/>
      <c r="H46" s="43"/>
      <c r="I46" s="43"/>
      <c r="J46" s="43"/>
      <c r="K46" s="43"/>
      <c r="L46" s="43"/>
      <c r="M46" s="210"/>
    </row>
    <row r="47" spans="2:13">
      <c r="B47" s="209"/>
      <c r="C47" s="329" t="s">
        <v>252</v>
      </c>
      <c r="D47" s="43"/>
      <c r="E47" s="43"/>
      <c r="F47" s="43"/>
      <c r="G47" s="43"/>
      <c r="H47" s="43"/>
      <c r="I47" s="43"/>
      <c r="J47" s="43"/>
      <c r="K47" s="43"/>
      <c r="L47" s="43"/>
      <c r="M47" s="210"/>
    </row>
    <row r="48" spans="2:13">
      <c r="B48" s="332" t="str">
        <f>INDEX($G$54:$G$57,MATCH(LEFT('RFPR cover'!$C$6,2),Data!$E$54:$E$57,0),0)</f>
        <v>Totex</v>
      </c>
      <c r="C48" s="328">
        <f>INDEX($F$73:$F$100,MATCH('RFPR cover'!$C$5,Data!$B$73:$B$100,0),0)</f>
        <v>0.9</v>
      </c>
      <c r="D48" s="43"/>
      <c r="E48" s="43"/>
      <c r="F48" s="43"/>
      <c r="G48" s="43"/>
      <c r="H48" s="43"/>
      <c r="I48" s="43"/>
      <c r="J48" s="43"/>
      <c r="K48" s="43"/>
      <c r="L48" s="43"/>
      <c r="M48" s="210"/>
    </row>
    <row r="49" spans="2:20">
      <c r="B49" s="333"/>
      <c r="C49" s="43"/>
      <c r="D49" s="43"/>
      <c r="E49" s="43"/>
      <c r="F49" s="43"/>
      <c r="G49" s="43"/>
      <c r="H49" s="43"/>
      <c r="I49" s="43"/>
      <c r="J49" s="43"/>
      <c r="K49" s="43"/>
      <c r="L49" s="43"/>
      <c r="M49" s="210"/>
    </row>
    <row r="50" spans="2:20">
      <c r="B50" s="333"/>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3"/>
      <c r="L50" s="43"/>
    </row>
    <row r="51" spans="2:20">
      <c r="B51" s="332" t="str">
        <f>INDEX($J$54:$J$57,MATCH(LEFT('RFPR cover'!$C$6,2),Data!$E$54:$E$57,0),0)</f>
        <v>n/a</v>
      </c>
      <c r="C51" s="334">
        <f>IFERROR(INDEX(C$106:C$115,MATCH('RFPR cover'!$C$5,Data!$B$106:$B$115,0),0),0)</f>
        <v>0</v>
      </c>
      <c r="D51" s="316">
        <f>IFERROR(INDEX(D$106:D$115,MATCH('RFPR cover'!$C$5,Data!$B$106:$B$115,0),0),0)</f>
        <v>0</v>
      </c>
      <c r="E51" s="316">
        <f>IFERROR(INDEX(E$106:E$115,MATCH('RFPR cover'!$C$5,Data!$B$106:$B$115,0),0),0)</f>
        <v>0</v>
      </c>
      <c r="F51" s="316">
        <f>IFERROR(INDEX(F$106:F$115,MATCH('RFPR cover'!$C$5,Data!$B$106:$B$115,0),0),0)</f>
        <v>0</v>
      </c>
      <c r="G51" s="316">
        <f>IFERROR(INDEX(G$106:G$115,MATCH('RFPR cover'!$C$5,Data!$B$106:$B$115,0),0),0)</f>
        <v>0</v>
      </c>
      <c r="H51" s="316">
        <f>IFERROR(INDEX(H$106:H$115,MATCH('RFPR cover'!$C$5,Data!$B$106:$B$115,0),0),0)</f>
        <v>0</v>
      </c>
      <c r="I51" s="316">
        <f>IFERROR(INDEX(I$106:I$115,MATCH('RFPR cover'!$C$5,Data!$B$106:$B$115,0),0),0)</f>
        <v>0</v>
      </c>
      <c r="J51" s="316">
        <f>IFERROR(INDEX(J$106:J$115,MATCH('RFPR cover'!$C$5,Data!$B$106:$B$115,0),0),0)</f>
        <v>0</v>
      </c>
      <c r="K51" s="43"/>
      <c r="L51" s="43"/>
    </row>
    <row r="52" spans="2:20">
      <c r="B52" s="306"/>
      <c r="C52" s="307"/>
      <c r="D52" s="307"/>
      <c r="E52" s="307"/>
      <c r="F52" s="307"/>
      <c r="G52" s="307"/>
      <c r="H52" s="307"/>
      <c r="I52" s="307"/>
      <c r="J52" s="307"/>
      <c r="K52" s="307"/>
      <c r="L52" s="307"/>
      <c r="M52" s="308"/>
    </row>
    <row r="53" spans="2:20">
      <c r="B53" s="43"/>
      <c r="C53" s="43"/>
      <c r="D53" s="43"/>
      <c r="E53" s="43"/>
      <c r="F53" s="43"/>
      <c r="G53" s="43"/>
      <c r="H53" s="43"/>
      <c r="I53" s="43"/>
      <c r="J53" s="43"/>
      <c r="K53" s="43"/>
    </row>
    <row r="54" spans="2:20">
      <c r="B54" s="320"/>
      <c r="C54" s="320"/>
      <c r="E54" s="317" t="s">
        <v>172</v>
      </c>
      <c r="F54" s="346" t="s">
        <v>159</v>
      </c>
      <c r="G54" s="974" t="s">
        <v>253</v>
      </c>
      <c r="H54" s="975"/>
      <c r="I54" s="976"/>
      <c r="J54" s="983" t="s">
        <v>255</v>
      </c>
      <c r="K54" s="984"/>
    </row>
    <row r="55" spans="2:20">
      <c r="B55" s="320"/>
      <c r="C55" s="320"/>
      <c r="E55" s="318" t="s">
        <v>174</v>
      </c>
      <c r="F55" s="347" t="s">
        <v>184</v>
      </c>
      <c r="G55" s="977" t="s">
        <v>253</v>
      </c>
      <c r="H55" s="978"/>
      <c r="I55" s="979"/>
      <c r="J55" s="985" t="s">
        <v>255</v>
      </c>
      <c r="K55" s="986"/>
    </row>
    <row r="56" spans="2:20">
      <c r="B56" s="320"/>
      <c r="C56" s="320"/>
      <c r="E56" s="318" t="s">
        <v>173</v>
      </c>
      <c r="F56" s="347" t="s">
        <v>184</v>
      </c>
      <c r="G56" s="977" t="s">
        <v>244</v>
      </c>
      <c r="H56" s="978"/>
      <c r="I56" s="979"/>
      <c r="J56" s="985" t="s">
        <v>245</v>
      </c>
      <c r="K56" s="986"/>
    </row>
    <row r="57" spans="2:20">
      <c r="B57" s="320"/>
      <c r="C57" s="320"/>
      <c r="E57" s="319" t="s">
        <v>175</v>
      </c>
      <c r="F57" s="348" t="s">
        <v>184</v>
      </c>
      <c r="G57" s="980" t="s">
        <v>254</v>
      </c>
      <c r="H57" s="981"/>
      <c r="I57" s="982"/>
      <c r="J57" s="987" t="s">
        <v>256</v>
      </c>
      <c r="K57" s="988"/>
    </row>
    <row r="58" spans="2:20">
      <c r="B58" s="320"/>
      <c r="C58" s="320"/>
      <c r="E58" s="320"/>
      <c r="F58" s="468"/>
      <c r="G58" s="469"/>
      <c r="H58" s="469"/>
      <c r="I58" s="469"/>
      <c r="J58" s="470"/>
      <c r="K58" s="470"/>
    </row>
    <row r="59" spans="2:20">
      <c r="B59" s="471"/>
      <c r="C59" s="471"/>
      <c r="D59" s="223"/>
      <c r="E59" s="471"/>
      <c r="F59" s="472"/>
      <c r="G59" s="473"/>
      <c r="H59" s="473"/>
      <c r="I59" s="473"/>
      <c r="J59" s="474"/>
      <c r="K59" s="474"/>
      <c r="L59" s="223"/>
      <c r="M59" s="223"/>
      <c r="N59" s="223"/>
      <c r="O59" s="223"/>
      <c r="P59" s="223"/>
      <c r="Q59" s="223"/>
      <c r="R59" s="223"/>
      <c r="S59" s="223"/>
      <c r="T59" s="223"/>
    </row>
    <row r="60" spans="2:20" s="32" customFormat="1">
      <c r="B60" s="420"/>
      <c r="C60" s="420"/>
      <c r="E60" s="420"/>
      <c r="F60" s="475"/>
      <c r="G60" s="476"/>
      <c r="H60" s="476"/>
      <c r="I60" s="476"/>
      <c r="J60" s="477"/>
      <c r="K60" s="477"/>
    </row>
    <row r="61" spans="2:20">
      <c r="B61" s="467" t="s">
        <v>352</v>
      </c>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202">
        <f t="shared" si="5"/>
        <v>2023</v>
      </c>
    </row>
    <row r="63" spans="2:20">
      <c r="B63" s="464" t="s">
        <v>350</v>
      </c>
      <c r="C63" s="591"/>
      <c r="D63" s="592"/>
      <c r="E63" s="462">
        <v>2.5499999999999998E-2</v>
      </c>
      <c r="F63" s="462">
        <v>2.3799999999999998E-2</v>
      </c>
      <c r="G63" s="462">
        <v>2.2200000000000001E-2</v>
      </c>
      <c r="H63" s="462">
        <v>1.9099999999999999E-2</v>
      </c>
      <c r="I63" s="462">
        <v>1.5800000000000002E-2</v>
      </c>
      <c r="J63" s="462">
        <v>1.1399999999999999E-2</v>
      </c>
      <c r="K63" s="462">
        <v>9.1999999999999998E-3</v>
      </c>
      <c r="L63" s="463">
        <v>7.1999999999999998E-3</v>
      </c>
    </row>
    <row r="64" spans="2:20">
      <c r="B64" s="465" t="s">
        <v>337</v>
      </c>
      <c r="C64" s="579"/>
      <c r="D64" s="580"/>
      <c r="E64" s="422">
        <v>2.5499999999999998E-2</v>
      </c>
      <c r="F64" s="422">
        <v>2.4199999999999999E-2</v>
      </c>
      <c r="G64" s="422">
        <v>2.29E-2</v>
      </c>
      <c r="H64" s="422">
        <v>2.0899999999999998E-2</v>
      </c>
      <c r="I64" s="422">
        <v>1.9400000000000001E-2</v>
      </c>
      <c r="J64" s="422">
        <v>1.8200000000000001E-2</v>
      </c>
      <c r="K64" s="422">
        <v>1.72E-2</v>
      </c>
      <c r="L64" s="425">
        <v>1.6299999999999999E-2</v>
      </c>
    </row>
    <row r="65" spans="1:20">
      <c r="B65" s="465" t="s">
        <v>61</v>
      </c>
      <c r="C65" s="421">
        <v>2.92E-2</v>
      </c>
      <c r="D65" s="422">
        <v>2.5000000000000001E-2</v>
      </c>
      <c r="E65" s="422">
        <v>2.1499999999999998E-2</v>
      </c>
      <c r="F65" s="422">
        <v>1.7899999999999999E-2</v>
      </c>
      <c r="G65" s="422">
        <v>1.5100000000000001E-2</v>
      </c>
      <c r="H65" s="422">
        <v>1.1599999999999999E-2</v>
      </c>
      <c r="I65" s="422">
        <v>1.0200000000000001E-2</v>
      </c>
      <c r="J65" s="422">
        <v>8.6E-3</v>
      </c>
      <c r="K65" s="593"/>
      <c r="L65" s="594"/>
    </row>
    <row r="66" spans="1:20">
      <c r="B66" s="465" t="s">
        <v>351</v>
      </c>
      <c r="C66" s="460">
        <v>2.92E-2</v>
      </c>
      <c r="D66" s="461">
        <v>2.7199999999999998E-2</v>
      </c>
      <c r="E66" s="461">
        <v>2.5499999999999998E-2</v>
      </c>
      <c r="F66" s="461">
        <v>2.3800000000000002E-2</v>
      </c>
      <c r="G66" s="461">
        <v>2.2200000000000001E-2</v>
      </c>
      <c r="H66" s="461">
        <v>1.9099999999999999E-2</v>
      </c>
      <c r="I66" s="461">
        <v>1.5800000000000002E-2</v>
      </c>
      <c r="J66" s="461">
        <v>1.1399999999999999E-2</v>
      </c>
      <c r="K66" s="580"/>
      <c r="L66" s="581"/>
    </row>
    <row r="67" spans="1:20">
      <c r="B67" s="465" t="s">
        <v>173</v>
      </c>
      <c r="C67" s="421">
        <v>2.92E-2</v>
      </c>
      <c r="D67" s="422">
        <v>2.7199999999999998E-2</v>
      </c>
      <c r="E67" s="422">
        <v>2.5499999999999998E-2</v>
      </c>
      <c r="F67" s="422">
        <v>2.3800000000000002E-2</v>
      </c>
      <c r="G67" s="422">
        <v>2.2200000000000001E-2</v>
      </c>
      <c r="H67" s="461">
        <v>1.9099999999999999E-2</v>
      </c>
      <c r="I67" s="461">
        <v>1.5800000000000002E-2</v>
      </c>
      <c r="J67" s="461">
        <v>1.1399999999999999E-2</v>
      </c>
      <c r="K67" s="580"/>
      <c r="L67" s="581"/>
    </row>
    <row r="68" spans="1:20">
      <c r="B68" s="466" t="s">
        <v>175</v>
      </c>
      <c r="C68" s="423">
        <v>2.92E-2</v>
      </c>
      <c r="D68" s="424">
        <v>2.7199999999999998E-2</v>
      </c>
      <c r="E68" s="424">
        <v>2.5499999999999998E-2</v>
      </c>
      <c r="F68" s="424">
        <v>2.3800000000000002E-2</v>
      </c>
      <c r="G68" s="424">
        <v>2.2200000000000001E-2</v>
      </c>
      <c r="H68" s="424">
        <v>1.9099999999999999E-2</v>
      </c>
      <c r="I68" s="424">
        <v>1.5800000000000002E-2</v>
      </c>
      <c r="J68" s="424">
        <v>1.1399999999999999E-2</v>
      </c>
      <c r="K68" s="582"/>
      <c r="L68" s="583"/>
    </row>
    <row r="69" spans="1:20">
      <c r="I69" s="66"/>
    </row>
    <row r="70" spans="1:20">
      <c r="H70" s="66"/>
      <c r="K70" s="43"/>
      <c r="L70" s="43"/>
      <c r="M70" s="43"/>
      <c r="N70" s="43"/>
      <c r="O70" s="43"/>
      <c r="P70" s="43"/>
      <c r="Q70" s="43"/>
      <c r="R70" s="43"/>
      <c r="S70" s="43"/>
      <c r="T70" s="43"/>
    </row>
    <row r="71" spans="1:20" ht="38.25">
      <c r="B71" s="22"/>
      <c r="C71" s="73" t="s">
        <v>251</v>
      </c>
      <c r="D71" s="74" t="s">
        <v>212</v>
      </c>
      <c r="E71" s="74" t="s">
        <v>72</v>
      </c>
      <c r="F71" s="74" t="s">
        <v>274</v>
      </c>
      <c r="G71" s="74" t="s">
        <v>116</v>
      </c>
      <c r="H71" s="75" t="s">
        <v>186</v>
      </c>
      <c r="I71" s="345" t="s">
        <v>269</v>
      </c>
      <c r="J71" s="345" t="s">
        <v>469</v>
      </c>
      <c r="K71" s="971" t="s">
        <v>346</v>
      </c>
      <c r="L71" s="972"/>
      <c r="M71" s="972"/>
      <c r="N71" s="972"/>
      <c r="O71" s="972"/>
      <c r="P71" s="972"/>
      <c r="Q71" s="972"/>
      <c r="R71" s="972"/>
      <c r="S71" s="972"/>
      <c r="T71" s="973"/>
    </row>
    <row r="72" spans="1:20">
      <c r="A72" s="349" t="s">
        <v>189</v>
      </c>
      <c r="B72" s="67" t="s">
        <v>69</v>
      </c>
      <c r="C72" s="321"/>
      <c r="D72" s="69"/>
      <c r="E72" s="68"/>
      <c r="F72" s="68"/>
      <c r="G72" s="69"/>
      <c r="H72" s="70"/>
      <c r="I72" s="70"/>
      <c r="J72" s="447"/>
      <c r="K72" s="448">
        <v>2014</v>
      </c>
      <c r="L72" s="449">
        <f t="shared" ref="L72:T72" si="6">K72+1</f>
        <v>2015</v>
      </c>
      <c r="M72" s="449">
        <f t="shared" si="6"/>
        <v>2016</v>
      </c>
      <c r="N72" s="449">
        <f t="shared" si="6"/>
        <v>2017</v>
      </c>
      <c r="O72" s="449">
        <f t="shared" si="6"/>
        <v>2018</v>
      </c>
      <c r="P72" s="449">
        <f t="shared" si="6"/>
        <v>2019</v>
      </c>
      <c r="Q72" s="449">
        <f t="shared" si="6"/>
        <v>2020</v>
      </c>
      <c r="R72" s="449">
        <f t="shared" si="6"/>
        <v>2021</v>
      </c>
      <c r="S72" s="449">
        <f t="shared" si="6"/>
        <v>2022</v>
      </c>
      <c r="T72" s="450">
        <f t="shared" si="6"/>
        <v>2023</v>
      </c>
    </row>
    <row r="73" spans="1:20">
      <c r="A73" s="60" t="s">
        <v>172</v>
      </c>
      <c r="B73" s="71" t="s">
        <v>43</v>
      </c>
      <c r="C73" s="322">
        <v>0.06</v>
      </c>
      <c r="D73" s="323">
        <v>0.58109999999999995</v>
      </c>
      <c r="E73" s="324">
        <v>0.65</v>
      </c>
      <c r="F73" s="324">
        <v>0.68</v>
      </c>
      <c r="G73" s="355">
        <v>2016</v>
      </c>
      <c r="H73" s="356" t="str">
        <f t="shared" ref="H73:H97" si="7">VLOOKUP($A73,$E$54:$F$57,2,FALSE)</f>
        <v>£m 12/13</v>
      </c>
      <c r="I73" s="356" t="s">
        <v>270</v>
      </c>
      <c r="J73" s="447" t="s">
        <v>470</v>
      </c>
      <c r="K73" s="579"/>
      <c r="L73" s="580"/>
      <c r="M73" s="455">
        <f t="shared" ref="M73:M82" si="8">E$64</f>
        <v>2.5499999999999998E-2</v>
      </c>
      <c r="N73" s="455">
        <f t="shared" ref="N73:N82" si="9">F$64</f>
        <v>2.4199999999999999E-2</v>
      </c>
      <c r="O73" s="455">
        <f t="shared" ref="O73:O82" si="10">G$64</f>
        <v>2.29E-2</v>
      </c>
      <c r="P73" s="455">
        <f t="shared" ref="P73:P82" si="11">H$64</f>
        <v>2.0899999999999998E-2</v>
      </c>
      <c r="Q73" s="455">
        <f t="shared" ref="Q73:Q82" si="12">I$64</f>
        <v>1.9400000000000001E-2</v>
      </c>
      <c r="R73" s="455">
        <f t="shared" ref="R73:R82" si="13">J$64</f>
        <v>1.8200000000000001E-2</v>
      </c>
      <c r="S73" s="455">
        <f t="shared" ref="S73:S82" si="14">K$64</f>
        <v>1.72E-2</v>
      </c>
      <c r="T73" s="459">
        <f t="shared" ref="T73:T82" si="15">L$64</f>
        <v>1.6299999999999999E-2</v>
      </c>
    </row>
    <row r="74" spans="1:20">
      <c r="A74" s="60" t="s">
        <v>172</v>
      </c>
      <c r="B74" s="71" t="s">
        <v>44</v>
      </c>
      <c r="C74" s="322">
        <v>0.06</v>
      </c>
      <c r="D74" s="323">
        <v>0.55843703457782867</v>
      </c>
      <c r="E74" s="324">
        <v>0.65</v>
      </c>
      <c r="F74" s="324">
        <v>0.7</v>
      </c>
      <c r="G74" s="355">
        <v>2016</v>
      </c>
      <c r="H74" s="356" t="str">
        <f t="shared" si="7"/>
        <v>£m 12/13</v>
      </c>
      <c r="I74" s="356" t="s">
        <v>270</v>
      </c>
      <c r="J74" s="447" t="s">
        <v>470</v>
      </c>
      <c r="K74" s="579"/>
      <c r="L74" s="580"/>
      <c r="M74" s="455">
        <f t="shared" si="8"/>
        <v>2.5499999999999998E-2</v>
      </c>
      <c r="N74" s="455">
        <f t="shared" si="9"/>
        <v>2.4199999999999999E-2</v>
      </c>
      <c r="O74" s="455">
        <f t="shared" si="10"/>
        <v>2.29E-2</v>
      </c>
      <c r="P74" s="455">
        <f t="shared" si="11"/>
        <v>2.0899999999999998E-2</v>
      </c>
      <c r="Q74" s="455">
        <f t="shared" si="12"/>
        <v>1.9400000000000001E-2</v>
      </c>
      <c r="R74" s="455">
        <f t="shared" si="13"/>
        <v>1.8200000000000001E-2</v>
      </c>
      <c r="S74" s="455">
        <f t="shared" si="14"/>
        <v>1.72E-2</v>
      </c>
      <c r="T74" s="459">
        <f t="shared" si="15"/>
        <v>1.6299999999999999E-2</v>
      </c>
    </row>
    <row r="75" spans="1:20">
      <c r="A75" s="60" t="s">
        <v>172</v>
      </c>
      <c r="B75" s="71" t="s">
        <v>73</v>
      </c>
      <c r="C75" s="322">
        <v>0.06</v>
      </c>
      <c r="D75" s="323">
        <v>0.55843703457782867</v>
      </c>
      <c r="E75" s="324">
        <v>0.65</v>
      </c>
      <c r="F75" s="324">
        <v>0.72</v>
      </c>
      <c r="G75" s="355">
        <v>2016</v>
      </c>
      <c r="H75" s="356" t="str">
        <f t="shared" si="7"/>
        <v>£m 12/13</v>
      </c>
      <c r="I75" s="356" t="s">
        <v>270</v>
      </c>
      <c r="J75" s="447" t="s">
        <v>470</v>
      </c>
      <c r="K75" s="579"/>
      <c r="L75" s="580"/>
      <c r="M75" s="455">
        <f t="shared" si="8"/>
        <v>2.5499999999999998E-2</v>
      </c>
      <c r="N75" s="455">
        <f t="shared" si="9"/>
        <v>2.4199999999999999E-2</v>
      </c>
      <c r="O75" s="455">
        <f t="shared" si="10"/>
        <v>2.29E-2</v>
      </c>
      <c r="P75" s="455">
        <f t="shared" si="11"/>
        <v>2.0899999999999998E-2</v>
      </c>
      <c r="Q75" s="455">
        <f t="shared" si="12"/>
        <v>1.9400000000000001E-2</v>
      </c>
      <c r="R75" s="455">
        <f t="shared" si="13"/>
        <v>1.8200000000000001E-2</v>
      </c>
      <c r="S75" s="455">
        <f t="shared" si="14"/>
        <v>1.72E-2</v>
      </c>
      <c r="T75" s="459">
        <f t="shared" si="15"/>
        <v>1.6299999999999999E-2</v>
      </c>
    </row>
    <row r="76" spans="1:20">
      <c r="A76" s="60" t="s">
        <v>172</v>
      </c>
      <c r="B76" s="71" t="s">
        <v>59</v>
      </c>
      <c r="C76" s="322">
        <v>0.06</v>
      </c>
      <c r="D76" s="323">
        <v>0.53280000000000005</v>
      </c>
      <c r="E76" s="324">
        <v>0.65</v>
      </c>
      <c r="F76" s="324">
        <v>0.68</v>
      </c>
      <c r="G76" s="355">
        <v>2016</v>
      </c>
      <c r="H76" s="356" t="str">
        <f t="shared" si="7"/>
        <v>£m 12/13</v>
      </c>
      <c r="I76" s="356" t="s">
        <v>270</v>
      </c>
      <c r="J76" s="447" t="s">
        <v>470</v>
      </c>
      <c r="K76" s="579"/>
      <c r="L76" s="580"/>
      <c r="M76" s="455">
        <f t="shared" si="8"/>
        <v>2.5499999999999998E-2</v>
      </c>
      <c r="N76" s="455">
        <f t="shared" si="9"/>
        <v>2.4199999999999999E-2</v>
      </c>
      <c r="O76" s="455">
        <f t="shared" si="10"/>
        <v>2.29E-2</v>
      </c>
      <c r="P76" s="455">
        <f t="shared" si="11"/>
        <v>2.0899999999999998E-2</v>
      </c>
      <c r="Q76" s="455">
        <f t="shared" si="12"/>
        <v>1.9400000000000001E-2</v>
      </c>
      <c r="R76" s="455">
        <f t="shared" si="13"/>
        <v>1.8200000000000001E-2</v>
      </c>
      <c r="S76" s="455">
        <f t="shared" si="14"/>
        <v>1.72E-2</v>
      </c>
      <c r="T76" s="459">
        <f t="shared" si="15"/>
        <v>1.6299999999999999E-2</v>
      </c>
    </row>
    <row r="77" spans="1:20">
      <c r="A77" s="60" t="s">
        <v>172</v>
      </c>
      <c r="B77" s="71" t="s">
        <v>57</v>
      </c>
      <c r="C77" s="322">
        <v>0.06</v>
      </c>
      <c r="D77" s="323">
        <v>0.53280000000000005</v>
      </c>
      <c r="E77" s="324">
        <v>0.65</v>
      </c>
      <c r="F77" s="324">
        <v>0.68</v>
      </c>
      <c r="G77" s="355">
        <v>2016</v>
      </c>
      <c r="H77" s="356" t="str">
        <f t="shared" si="7"/>
        <v>£m 12/13</v>
      </c>
      <c r="I77" s="356" t="s">
        <v>270</v>
      </c>
      <c r="J77" s="447" t="s">
        <v>470</v>
      </c>
      <c r="K77" s="579"/>
      <c r="L77" s="580"/>
      <c r="M77" s="455">
        <f t="shared" si="8"/>
        <v>2.5499999999999998E-2</v>
      </c>
      <c r="N77" s="455">
        <f t="shared" si="9"/>
        <v>2.4199999999999999E-2</v>
      </c>
      <c r="O77" s="455">
        <f t="shared" si="10"/>
        <v>2.29E-2</v>
      </c>
      <c r="P77" s="455">
        <f t="shared" si="11"/>
        <v>2.0899999999999998E-2</v>
      </c>
      <c r="Q77" s="455">
        <f t="shared" si="12"/>
        <v>1.9400000000000001E-2</v>
      </c>
      <c r="R77" s="455">
        <f t="shared" si="13"/>
        <v>1.8200000000000001E-2</v>
      </c>
      <c r="S77" s="455">
        <f t="shared" si="14"/>
        <v>1.72E-2</v>
      </c>
      <c r="T77" s="459">
        <f t="shared" si="15"/>
        <v>1.6299999999999999E-2</v>
      </c>
    </row>
    <row r="78" spans="1:20">
      <c r="A78" s="60" t="s">
        <v>172</v>
      </c>
      <c r="B78" s="71" t="s">
        <v>58</v>
      </c>
      <c r="C78" s="322">
        <v>0.06</v>
      </c>
      <c r="D78" s="323">
        <v>0.53280000000000005</v>
      </c>
      <c r="E78" s="324">
        <v>0.65</v>
      </c>
      <c r="F78" s="324">
        <v>0.68</v>
      </c>
      <c r="G78" s="355">
        <v>2016</v>
      </c>
      <c r="H78" s="356" t="str">
        <f t="shared" si="7"/>
        <v>£m 12/13</v>
      </c>
      <c r="I78" s="356" t="s">
        <v>270</v>
      </c>
      <c r="J78" s="447" t="s">
        <v>470</v>
      </c>
      <c r="K78" s="579"/>
      <c r="L78" s="580"/>
      <c r="M78" s="455">
        <f t="shared" si="8"/>
        <v>2.5499999999999998E-2</v>
      </c>
      <c r="N78" s="455">
        <f t="shared" si="9"/>
        <v>2.4199999999999999E-2</v>
      </c>
      <c r="O78" s="455">
        <f t="shared" si="10"/>
        <v>2.29E-2</v>
      </c>
      <c r="P78" s="455">
        <f t="shared" si="11"/>
        <v>2.0899999999999998E-2</v>
      </c>
      <c r="Q78" s="455">
        <f t="shared" si="12"/>
        <v>1.9400000000000001E-2</v>
      </c>
      <c r="R78" s="455">
        <f t="shared" si="13"/>
        <v>1.8200000000000001E-2</v>
      </c>
      <c r="S78" s="455">
        <f t="shared" si="14"/>
        <v>1.72E-2</v>
      </c>
      <c r="T78" s="459">
        <f t="shared" si="15"/>
        <v>1.6299999999999999E-2</v>
      </c>
    </row>
    <row r="79" spans="1:20">
      <c r="A79" s="60" t="s">
        <v>172</v>
      </c>
      <c r="B79" s="71" t="s">
        <v>45</v>
      </c>
      <c r="C79" s="322">
        <v>0.06</v>
      </c>
      <c r="D79" s="323">
        <v>0.53500000000000003</v>
      </c>
      <c r="E79" s="324">
        <v>0.65</v>
      </c>
      <c r="F79" s="324">
        <v>0.8</v>
      </c>
      <c r="G79" s="355">
        <v>2016</v>
      </c>
      <c r="H79" s="356" t="str">
        <f t="shared" si="7"/>
        <v>£m 12/13</v>
      </c>
      <c r="I79" s="356" t="s">
        <v>270</v>
      </c>
      <c r="J79" s="447" t="s">
        <v>470</v>
      </c>
      <c r="K79" s="579"/>
      <c r="L79" s="580"/>
      <c r="M79" s="455">
        <f t="shared" si="8"/>
        <v>2.5499999999999998E-2</v>
      </c>
      <c r="N79" s="455">
        <f t="shared" si="9"/>
        <v>2.4199999999999999E-2</v>
      </c>
      <c r="O79" s="455">
        <f t="shared" si="10"/>
        <v>2.29E-2</v>
      </c>
      <c r="P79" s="455">
        <f t="shared" si="11"/>
        <v>2.0899999999999998E-2</v>
      </c>
      <c r="Q79" s="455">
        <f t="shared" si="12"/>
        <v>1.9400000000000001E-2</v>
      </c>
      <c r="R79" s="455">
        <f t="shared" si="13"/>
        <v>1.8200000000000001E-2</v>
      </c>
      <c r="S79" s="455">
        <f t="shared" si="14"/>
        <v>1.72E-2</v>
      </c>
      <c r="T79" s="459">
        <f t="shared" si="15"/>
        <v>1.6299999999999999E-2</v>
      </c>
    </row>
    <row r="80" spans="1:20">
      <c r="A80" s="60" t="s">
        <v>172</v>
      </c>
      <c r="B80" s="71" t="s">
        <v>46</v>
      </c>
      <c r="C80" s="322">
        <v>0.06</v>
      </c>
      <c r="D80" s="323">
        <v>0.53500000000000003</v>
      </c>
      <c r="E80" s="324">
        <v>0.65</v>
      </c>
      <c r="F80" s="324">
        <v>0.8</v>
      </c>
      <c r="G80" s="355">
        <v>2016</v>
      </c>
      <c r="H80" s="356" t="str">
        <f t="shared" si="7"/>
        <v>£m 12/13</v>
      </c>
      <c r="I80" s="356" t="s">
        <v>270</v>
      </c>
      <c r="J80" s="447" t="s">
        <v>470</v>
      </c>
      <c r="K80" s="579"/>
      <c r="L80" s="580"/>
      <c r="M80" s="455">
        <f t="shared" si="8"/>
        <v>2.5499999999999998E-2</v>
      </c>
      <c r="N80" s="455">
        <f t="shared" si="9"/>
        <v>2.4199999999999999E-2</v>
      </c>
      <c r="O80" s="455">
        <f t="shared" si="10"/>
        <v>2.29E-2</v>
      </c>
      <c r="P80" s="455">
        <f t="shared" si="11"/>
        <v>2.0899999999999998E-2</v>
      </c>
      <c r="Q80" s="455">
        <f t="shared" si="12"/>
        <v>1.9400000000000001E-2</v>
      </c>
      <c r="R80" s="455">
        <f t="shared" si="13"/>
        <v>1.8200000000000001E-2</v>
      </c>
      <c r="S80" s="455">
        <f t="shared" si="14"/>
        <v>1.72E-2</v>
      </c>
      <c r="T80" s="459">
        <f t="shared" si="15"/>
        <v>1.6299999999999999E-2</v>
      </c>
    </row>
    <row r="81" spans="1:20">
      <c r="A81" s="60" t="s">
        <v>172</v>
      </c>
      <c r="B81" s="71" t="s">
        <v>47</v>
      </c>
      <c r="C81" s="322">
        <v>0.06</v>
      </c>
      <c r="D81" s="323">
        <v>0.56469999999999998</v>
      </c>
      <c r="E81" s="324">
        <v>0.65</v>
      </c>
      <c r="F81" s="324">
        <v>0.62</v>
      </c>
      <c r="G81" s="355">
        <v>2016</v>
      </c>
      <c r="H81" s="356" t="str">
        <f t="shared" si="7"/>
        <v>£m 12/13</v>
      </c>
      <c r="I81" s="356" t="s">
        <v>270</v>
      </c>
      <c r="J81" s="447" t="s">
        <v>470</v>
      </c>
      <c r="K81" s="579"/>
      <c r="L81" s="580"/>
      <c r="M81" s="455">
        <f t="shared" si="8"/>
        <v>2.5499999999999998E-2</v>
      </c>
      <c r="N81" s="455">
        <f t="shared" si="9"/>
        <v>2.4199999999999999E-2</v>
      </c>
      <c r="O81" s="455">
        <f t="shared" si="10"/>
        <v>2.29E-2</v>
      </c>
      <c r="P81" s="455">
        <f t="shared" si="11"/>
        <v>2.0899999999999998E-2</v>
      </c>
      <c r="Q81" s="455">
        <f t="shared" si="12"/>
        <v>1.9400000000000001E-2</v>
      </c>
      <c r="R81" s="455">
        <f t="shared" si="13"/>
        <v>1.8200000000000001E-2</v>
      </c>
      <c r="S81" s="455">
        <f t="shared" si="14"/>
        <v>1.72E-2</v>
      </c>
      <c r="T81" s="459">
        <f t="shared" si="15"/>
        <v>1.6299999999999999E-2</v>
      </c>
    </row>
    <row r="82" spans="1:20">
      <c r="A82" s="60" t="s">
        <v>172</v>
      </c>
      <c r="B82" s="71" t="s">
        <v>48</v>
      </c>
      <c r="C82" s="322">
        <v>0.06</v>
      </c>
      <c r="D82" s="323">
        <v>0.56469999999999998</v>
      </c>
      <c r="E82" s="324">
        <v>0.65</v>
      </c>
      <c r="F82" s="324">
        <v>0.7</v>
      </c>
      <c r="G82" s="355">
        <v>2016</v>
      </c>
      <c r="H82" s="356" t="str">
        <f t="shared" si="7"/>
        <v>£m 12/13</v>
      </c>
      <c r="I82" s="356" t="s">
        <v>270</v>
      </c>
      <c r="J82" s="447" t="s">
        <v>470</v>
      </c>
      <c r="K82" s="579"/>
      <c r="L82" s="580"/>
      <c r="M82" s="455">
        <f t="shared" si="8"/>
        <v>2.5499999999999998E-2</v>
      </c>
      <c r="N82" s="455">
        <f t="shared" si="9"/>
        <v>2.4199999999999999E-2</v>
      </c>
      <c r="O82" s="455">
        <f t="shared" si="10"/>
        <v>2.29E-2</v>
      </c>
      <c r="P82" s="455">
        <f t="shared" si="11"/>
        <v>2.0899999999999998E-2</v>
      </c>
      <c r="Q82" s="455">
        <f t="shared" si="12"/>
        <v>1.9400000000000001E-2</v>
      </c>
      <c r="R82" s="455">
        <f t="shared" si="13"/>
        <v>1.8200000000000001E-2</v>
      </c>
      <c r="S82" s="455">
        <f t="shared" si="14"/>
        <v>1.72E-2</v>
      </c>
      <c r="T82" s="459">
        <f t="shared" si="15"/>
        <v>1.6299999999999999E-2</v>
      </c>
    </row>
    <row r="83" spans="1:20">
      <c r="A83" s="60" t="s">
        <v>172</v>
      </c>
      <c r="B83" s="71" t="s">
        <v>246</v>
      </c>
      <c r="C83" s="322">
        <v>6.4000000000000001E-2</v>
      </c>
      <c r="D83" s="323">
        <v>0.7</v>
      </c>
      <c r="E83" s="324">
        <v>0.65</v>
      </c>
      <c r="F83" s="324">
        <v>0.8</v>
      </c>
      <c r="G83" s="355">
        <v>2016</v>
      </c>
      <c r="H83" s="356" t="str">
        <f t="shared" si="7"/>
        <v>£m 12/13</v>
      </c>
      <c r="I83" s="356" t="s">
        <v>271</v>
      </c>
      <c r="J83" s="447" t="s">
        <v>471</v>
      </c>
      <c r="K83" s="579"/>
      <c r="L83" s="580"/>
      <c r="M83" s="455">
        <f t="shared" ref="M83:T86" si="16">E$63</f>
        <v>2.5499999999999998E-2</v>
      </c>
      <c r="N83" s="455">
        <f t="shared" si="16"/>
        <v>2.3799999999999998E-2</v>
      </c>
      <c r="O83" s="455">
        <f t="shared" si="16"/>
        <v>2.2200000000000001E-2</v>
      </c>
      <c r="P83" s="455">
        <f t="shared" si="16"/>
        <v>1.9099999999999999E-2</v>
      </c>
      <c r="Q83" s="455">
        <f t="shared" si="16"/>
        <v>1.5800000000000002E-2</v>
      </c>
      <c r="R83" s="455">
        <f t="shared" si="16"/>
        <v>1.1399999999999999E-2</v>
      </c>
      <c r="S83" s="455">
        <f t="shared" si="16"/>
        <v>9.1999999999999998E-3</v>
      </c>
      <c r="T83" s="459">
        <f t="shared" si="16"/>
        <v>7.1999999999999998E-3</v>
      </c>
    </row>
    <row r="84" spans="1:20">
      <c r="A84" s="60" t="s">
        <v>172</v>
      </c>
      <c r="B84" s="71" t="s">
        <v>247</v>
      </c>
      <c r="C84" s="322">
        <v>6.4000000000000001E-2</v>
      </c>
      <c r="D84" s="323">
        <v>0.7</v>
      </c>
      <c r="E84" s="324">
        <v>0.65</v>
      </c>
      <c r="F84" s="324">
        <v>0.8</v>
      </c>
      <c r="G84" s="355">
        <v>2016</v>
      </c>
      <c r="H84" s="356" t="str">
        <f t="shared" si="7"/>
        <v>£m 12/13</v>
      </c>
      <c r="I84" s="356" t="s">
        <v>271</v>
      </c>
      <c r="J84" s="447" t="s">
        <v>471</v>
      </c>
      <c r="K84" s="579"/>
      <c r="L84" s="580"/>
      <c r="M84" s="455">
        <f t="shared" si="16"/>
        <v>2.5499999999999998E-2</v>
      </c>
      <c r="N84" s="455">
        <f t="shared" si="16"/>
        <v>2.3799999999999998E-2</v>
      </c>
      <c r="O84" s="455">
        <f t="shared" si="16"/>
        <v>2.2200000000000001E-2</v>
      </c>
      <c r="P84" s="455">
        <f t="shared" si="16"/>
        <v>1.9099999999999999E-2</v>
      </c>
      <c r="Q84" s="455">
        <f t="shared" si="16"/>
        <v>1.5800000000000002E-2</v>
      </c>
      <c r="R84" s="455">
        <f t="shared" si="16"/>
        <v>1.1399999999999999E-2</v>
      </c>
      <c r="S84" s="455">
        <f t="shared" si="16"/>
        <v>9.1999999999999998E-3</v>
      </c>
      <c r="T84" s="459">
        <f t="shared" si="16"/>
        <v>7.1999999999999998E-3</v>
      </c>
    </row>
    <row r="85" spans="1:20">
      <c r="A85" s="60" t="s">
        <v>172</v>
      </c>
      <c r="B85" s="71" t="s">
        <v>248</v>
      </c>
      <c r="C85" s="322">
        <v>6.4000000000000001E-2</v>
      </c>
      <c r="D85" s="323">
        <v>0.7</v>
      </c>
      <c r="E85" s="324">
        <v>0.65</v>
      </c>
      <c r="F85" s="324">
        <v>0.8</v>
      </c>
      <c r="G85" s="355">
        <v>2016</v>
      </c>
      <c r="H85" s="356" t="str">
        <f t="shared" si="7"/>
        <v>£m 12/13</v>
      </c>
      <c r="I85" s="356" t="s">
        <v>271</v>
      </c>
      <c r="J85" s="447" t="s">
        <v>471</v>
      </c>
      <c r="K85" s="579"/>
      <c r="L85" s="580"/>
      <c r="M85" s="455">
        <f t="shared" si="16"/>
        <v>2.5499999999999998E-2</v>
      </c>
      <c r="N85" s="455">
        <f t="shared" si="16"/>
        <v>2.3799999999999998E-2</v>
      </c>
      <c r="O85" s="455">
        <f t="shared" si="16"/>
        <v>2.2200000000000001E-2</v>
      </c>
      <c r="P85" s="455">
        <f t="shared" si="16"/>
        <v>1.9099999999999999E-2</v>
      </c>
      <c r="Q85" s="455">
        <f t="shared" si="16"/>
        <v>1.5800000000000002E-2</v>
      </c>
      <c r="R85" s="455">
        <f t="shared" si="16"/>
        <v>1.1399999999999999E-2</v>
      </c>
      <c r="S85" s="455">
        <f t="shared" si="16"/>
        <v>9.1999999999999998E-3</v>
      </c>
      <c r="T85" s="459">
        <f t="shared" si="16"/>
        <v>7.1999999999999998E-3</v>
      </c>
    </row>
    <row r="86" spans="1:20">
      <c r="A86" s="60" t="s">
        <v>172</v>
      </c>
      <c r="B86" s="71" t="s">
        <v>249</v>
      </c>
      <c r="C86" s="322">
        <v>6.4000000000000001E-2</v>
      </c>
      <c r="D86" s="323">
        <v>0.7</v>
      </c>
      <c r="E86" s="324">
        <v>0.65</v>
      </c>
      <c r="F86" s="324">
        <v>0.8</v>
      </c>
      <c r="G86" s="355">
        <v>2016</v>
      </c>
      <c r="H86" s="356" t="str">
        <f t="shared" si="7"/>
        <v>£m 12/13</v>
      </c>
      <c r="I86" s="356" t="s">
        <v>271</v>
      </c>
      <c r="J86" s="447" t="s">
        <v>471</v>
      </c>
      <c r="K86" s="579"/>
      <c r="L86" s="580"/>
      <c r="M86" s="455">
        <f t="shared" si="16"/>
        <v>2.5499999999999998E-2</v>
      </c>
      <c r="N86" s="455">
        <f t="shared" si="16"/>
        <v>2.3799999999999998E-2</v>
      </c>
      <c r="O86" s="455">
        <f t="shared" si="16"/>
        <v>2.2200000000000001E-2</v>
      </c>
      <c r="P86" s="455">
        <f t="shared" si="16"/>
        <v>1.9099999999999999E-2</v>
      </c>
      <c r="Q86" s="455">
        <f t="shared" si="16"/>
        <v>1.5800000000000002E-2</v>
      </c>
      <c r="R86" s="455">
        <f t="shared" si="16"/>
        <v>1.1399999999999999E-2</v>
      </c>
      <c r="S86" s="455">
        <f t="shared" si="16"/>
        <v>9.1999999999999998E-3</v>
      </c>
      <c r="T86" s="459">
        <f t="shared" si="16"/>
        <v>7.1999999999999998E-3</v>
      </c>
    </row>
    <row r="87" spans="1:20">
      <c r="A87" s="60" t="s">
        <v>173</v>
      </c>
      <c r="B87" s="71" t="s">
        <v>53</v>
      </c>
      <c r="C87" s="322">
        <v>6.7000000000000004E-2</v>
      </c>
      <c r="D87" s="323">
        <v>0.63039999999999996</v>
      </c>
      <c r="E87" s="324">
        <v>0.65</v>
      </c>
      <c r="F87" s="324">
        <v>0.26634501855794862</v>
      </c>
      <c r="G87" s="355">
        <v>2014</v>
      </c>
      <c r="H87" s="356" t="str">
        <f t="shared" si="7"/>
        <v>£m 09/10</v>
      </c>
      <c r="I87" s="356" t="s">
        <v>270</v>
      </c>
      <c r="J87" s="447" t="s">
        <v>471</v>
      </c>
      <c r="K87" s="457">
        <f t="shared" ref="K87:R94" si="17">C$67</f>
        <v>2.92E-2</v>
      </c>
      <c r="L87" s="455">
        <f t="shared" si="17"/>
        <v>2.7199999999999998E-2</v>
      </c>
      <c r="M87" s="455">
        <f t="shared" si="17"/>
        <v>2.5499999999999998E-2</v>
      </c>
      <c r="N87" s="455">
        <f t="shared" si="17"/>
        <v>2.3800000000000002E-2</v>
      </c>
      <c r="O87" s="455">
        <f t="shared" si="17"/>
        <v>2.2200000000000001E-2</v>
      </c>
      <c r="P87" s="455">
        <f t="shared" si="17"/>
        <v>1.9099999999999999E-2</v>
      </c>
      <c r="Q87" s="455">
        <f t="shared" si="17"/>
        <v>1.5800000000000002E-2</v>
      </c>
      <c r="R87" s="455">
        <f t="shared" si="17"/>
        <v>1.1399999999999999E-2</v>
      </c>
      <c r="S87" s="580"/>
      <c r="T87" s="581"/>
    </row>
    <row r="88" spans="1:20">
      <c r="A88" s="60" t="s">
        <v>173</v>
      </c>
      <c r="B88" s="71" t="s">
        <v>54</v>
      </c>
      <c r="C88" s="322">
        <v>6.7000000000000004E-2</v>
      </c>
      <c r="D88" s="323">
        <v>0.63039999999999996</v>
      </c>
      <c r="E88" s="324">
        <v>0.65</v>
      </c>
      <c r="F88" s="324">
        <v>0.23469337831705597</v>
      </c>
      <c r="G88" s="355">
        <v>2014</v>
      </c>
      <c r="H88" s="356" t="str">
        <f t="shared" si="7"/>
        <v>£m 09/10</v>
      </c>
      <c r="I88" s="356" t="s">
        <v>270</v>
      </c>
      <c r="J88" s="447" t="s">
        <v>471</v>
      </c>
      <c r="K88" s="457">
        <f t="shared" si="17"/>
        <v>2.92E-2</v>
      </c>
      <c r="L88" s="455">
        <f t="shared" si="17"/>
        <v>2.7199999999999998E-2</v>
      </c>
      <c r="M88" s="455">
        <f t="shared" si="17"/>
        <v>2.5499999999999998E-2</v>
      </c>
      <c r="N88" s="455">
        <f t="shared" si="17"/>
        <v>2.3800000000000002E-2</v>
      </c>
      <c r="O88" s="455">
        <f t="shared" si="17"/>
        <v>2.2200000000000001E-2</v>
      </c>
      <c r="P88" s="455">
        <f t="shared" si="17"/>
        <v>1.9099999999999999E-2</v>
      </c>
      <c r="Q88" s="455">
        <f t="shared" si="17"/>
        <v>1.5800000000000002E-2</v>
      </c>
      <c r="R88" s="455">
        <f t="shared" si="17"/>
        <v>1.1399999999999999E-2</v>
      </c>
      <c r="S88" s="580"/>
      <c r="T88" s="581"/>
    </row>
    <row r="89" spans="1:20">
      <c r="A89" s="60" t="s">
        <v>173</v>
      </c>
      <c r="B89" s="71" t="s">
        <v>55</v>
      </c>
      <c r="C89" s="322">
        <v>6.7000000000000004E-2</v>
      </c>
      <c r="D89" s="323">
        <v>0.63039999999999996</v>
      </c>
      <c r="E89" s="324">
        <v>0.65</v>
      </c>
      <c r="F89" s="324">
        <v>0.24946223864843597</v>
      </c>
      <c r="G89" s="355">
        <v>2014</v>
      </c>
      <c r="H89" s="356" t="str">
        <f t="shared" si="7"/>
        <v>£m 09/10</v>
      </c>
      <c r="I89" s="356" t="s">
        <v>270</v>
      </c>
      <c r="J89" s="447" t="s">
        <v>471</v>
      </c>
      <c r="K89" s="457">
        <f t="shared" si="17"/>
        <v>2.92E-2</v>
      </c>
      <c r="L89" s="455">
        <f t="shared" si="17"/>
        <v>2.7199999999999998E-2</v>
      </c>
      <c r="M89" s="455">
        <f t="shared" si="17"/>
        <v>2.5499999999999998E-2</v>
      </c>
      <c r="N89" s="455">
        <f t="shared" si="17"/>
        <v>2.3800000000000002E-2</v>
      </c>
      <c r="O89" s="455">
        <f t="shared" si="17"/>
        <v>2.2200000000000001E-2</v>
      </c>
      <c r="P89" s="455">
        <f t="shared" si="17"/>
        <v>1.9099999999999999E-2</v>
      </c>
      <c r="Q89" s="455">
        <f t="shared" si="17"/>
        <v>1.5800000000000002E-2</v>
      </c>
      <c r="R89" s="455">
        <f t="shared" si="17"/>
        <v>1.1399999999999999E-2</v>
      </c>
      <c r="S89" s="580"/>
      <c r="T89" s="581"/>
    </row>
    <row r="90" spans="1:20">
      <c r="A90" s="60" t="s">
        <v>173</v>
      </c>
      <c r="B90" s="71" t="s">
        <v>56</v>
      </c>
      <c r="C90" s="322">
        <v>6.7000000000000004E-2</v>
      </c>
      <c r="D90" s="323">
        <v>0.63039999999999996</v>
      </c>
      <c r="E90" s="324">
        <v>0.65</v>
      </c>
      <c r="F90" s="324">
        <v>0.26095352485819256</v>
      </c>
      <c r="G90" s="355">
        <v>2014</v>
      </c>
      <c r="H90" s="356" t="str">
        <f t="shared" si="7"/>
        <v>£m 09/10</v>
      </c>
      <c r="I90" s="356" t="s">
        <v>270</v>
      </c>
      <c r="J90" s="447" t="s">
        <v>471</v>
      </c>
      <c r="K90" s="457">
        <f t="shared" si="17"/>
        <v>2.92E-2</v>
      </c>
      <c r="L90" s="455">
        <f t="shared" si="17"/>
        <v>2.7199999999999998E-2</v>
      </c>
      <c r="M90" s="455">
        <f t="shared" si="17"/>
        <v>2.5499999999999998E-2</v>
      </c>
      <c r="N90" s="455">
        <f t="shared" si="17"/>
        <v>2.3800000000000002E-2</v>
      </c>
      <c r="O90" s="455">
        <f t="shared" si="17"/>
        <v>2.2200000000000001E-2</v>
      </c>
      <c r="P90" s="455">
        <f t="shared" si="17"/>
        <v>1.9099999999999999E-2</v>
      </c>
      <c r="Q90" s="455">
        <f t="shared" si="17"/>
        <v>1.5800000000000002E-2</v>
      </c>
      <c r="R90" s="455">
        <f t="shared" si="17"/>
        <v>1.1399999999999999E-2</v>
      </c>
      <c r="S90" s="580"/>
      <c r="T90" s="581"/>
    </row>
    <row r="91" spans="1:20">
      <c r="A91" s="60" t="s">
        <v>173</v>
      </c>
      <c r="B91" s="71" t="s">
        <v>50</v>
      </c>
      <c r="C91" s="322">
        <v>6.7000000000000004E-2</v>
      </c>
      <c r="D91" s="323">
        <v>0.63980000000000004</v>
      </c>
      <c r="E91" s="324">
        <v>0.65</v>
      </c>
      <c r="F91" s="324">
        <v>0.34984411379298247</v>
      </c>
      <c r="G91" s="355">
        <v>2014</v>
      </c>
      <c r="H91" s="356" t="str">
        <f t="shared" si="7"/>
        <v>£m 09/10</v>
      </c>
      <c r="I91" s="356" t="s">
        <v>270</v>
      </c>
      <c r="J91" s="447" t="s">
        <v>471</v>
      </c>
      <c r="K91" s="457">
        <f t="shared" si="17"/>
        <v>2.92E-2</v>
      </c>
      <c r="L91" s="455">
        <f t="shared" si="17"/>
        <v>2.7199999999999998E-2</v>
      </c>
      <c r="M91" s="455">
        <f t="shared" si="17"/>
        <v>2.5499999999999998E-2</v>
      </c>
      <c r="N91" s="455">
        <f t="shared" si="17"/>
        <v>2.3800000000000002E-2</v>
      </c>
      <c r="O91" s="455">
        <f t="shared" si="17"/>
        <v>2.2200000000000001E-2</v>
      </c>
      <c r="P91" s="455">
        <f t="shared" si="17"/>
        <v>1.9099999999999999E-2</v>
      </c>
      <c r="Q91" s="455">
        <f t="shared" si="17"/>
        <v>1.5800000000000002E-2</v>
      </c>
      <c r="R91" s="455">
        <f t="shared" si="17"/>
        <v>1.1399999999999999E-2</v>
      </c>
      <c r="S91" s="580"/>
      <c r="T91" s="581"/>
    </row>
    <row r="92" spans="1:20">
      <c r="A92" s="60" t="s">
        <v>173</v>
      </c>
      <c r="B92" s="71" t="s">
        <v>52</v>
      </c>
      <c r="C92" s="322">
        <v>6.7000000000000004E-2</v>
      </c>
      <c r="D92" s="323">
        <v>0.63729999999999998</v>
      </c>
      <c r="E92" s="324">
        <v>0.65</v>
      </c>
      <c r="F92" s="324">
        <v>0.35129049661183626</v>
      </c>
      <c r="G92" s="355">
        <v>2014</v>
      </c>
      <c r="H92" s="356" t="str">
        <f t="shared" si="7"/>
        <v>£m 09/10</v>
      </c>
      <c r="I92" s="356" t="s">
        <v>270</v>
      </c>
      <c r="J92" s="447" t="s">
        <v>471</v>
      </c>
      <c r="K92" s="457">
        <f t="shared" si="17"/>
        <v>2.92E-2</v>
      </c>
      <c r="L92" s="455">
        <f t="shared" si="17"/>
        <v>2.7199999999999998E-2</v>
      </c>
      <c r="M92" s="455">
        <f t="shared" si="17"/>
        <v>2.5499999999999998E-2</v>
      </c>
      <c r="N92" s="455">
        <f t="shared" si="17"/>
        <v>2.3800000000000002E-2</v>
      </c>
      <c r="O92" s="455">
        <f t="shared" si="17"/>
        <v>2.2200000000000001E-2</v>
      </c>
      <c r="P92" s="455">
        <f t="shared" si="17"/>
        <v>1.9099999999999999E-2</v>
      </c>
      <c r="Q92" s="455">
        <f t="shared" si="17"/>
        <v>1.5800000000000002E-2</v>
      </c>
      <c r="R92" s="455">
        <f t="shared" si="17"/>
        <v>1.1399999999999999E-2</v>
      </c>
      <c r="S92" s="580"/>
      <c r="T92" s="581"/>
    </row>
    <row r="93" spans="1:20">
      <c r="A93" s="60" t="s">
        <v>173</v>
      </c>
      <c r="B93" s="71" t="s">
        <v>51</v>
      </c>
      <c r="C93" s="322">
        <v>6.7000000000000004E-2</v>
      </c>
      <c r="D93" s="323">
        <v>0.63729999999999998</v>
      </c>
      <c r="E93" s="324">
        <v>0.65</v>
      </c>
      <c r="F93" s="324">
        <v>0.32230855902021693</v>
      </c>
      <c r="G93" s="355">
        <v>2014</v>
      </c>
      <c r="H93" s="356" t="str">
        <f t="shared" si="7"/>
        <v>£m 09/10</v>
      </c>
      <c r="I93" s="356" t="s">
        <v>270</v>
      </c>
      <c r="J93" s="447" t="s">
        <v>471</v>
      </c>
      <c r="K93" s="457">
        <f t="shared" si="17"/>
        <v>2.92E-2</v>
      </c>
      <c r="L93" s="455">
        <f t="shared" si="17"/>
        <v>2.7199999999999998E-2</v>
      </c>
      <c r="M93" s="455">
        <f t="shared" si="17"/>
        <v>2.5499999999999998E-2</v>
      </c>
      <c r="N93" s="455">
        <f t="shared" si="17"/>
        <v>2.3800000000000002E-2</v>
      </c>
      <c r="O93" s="455">
        <f t="shared" si="17"/>
        <v>2.2200000000000001E-2</v>
      </c>
      <c r="P93" s="455">
        <f t="shared" si="17"/>
        <v>1.9099999999999999E-2</v>
      </c>
      <c r="Q93" s="455">
        <f t="shared" si="17"/>
        <v>1.5800000000000002E-2</v>
      </c>
      <c r="R93" s="455">
        <f t="shared" si="17"/>
        <v>1.1399999999999999E-2</v>
      </c>
      <c r="S93" s="580"/>
      <c r="T93" s="581"/>
    </row>
    <row r="94" spans="1:20">
      <c r="A94" s="60" t="s">
        <v>173</v>
      </c>
      <c r="B94" s="71" t="s">
        <v>49</v>
      </c>
      <c r="C94" s="322">
        <v>6.7000000000000004E-2</v>
      </c>
      <c r="D94" s="323">
        <v>0.63170000000000004</v>
      </c>
      <c r="E94" s="324">
        <v>0.65</v>
      </c>
      <c r="F94" s="324">
        <v>0.35781904469402892</v>
      </c>
      <c r="G94" s="355">
        <v>2014</v>
      </c>
      <c r="H94" s="356" t="str">
        <f t="shared" si="7"/>
        <v>£m 09/10</v>
      </c>
      <c r="I94" s="356" t="s">
        <v>270</v>
      </c>
      <c r="J94" s="447" t="s">
        <v>471</v>
      </c>
      <c r="K94" s="457">
        <f t="shared" si="17"/>
        <v>2.92E-2</v>
      </c>
      <c r="L94" s="455">
        <f t="shared" si="17"/>
        <v>2.7199999999999998E-2</v>
      </c>
      <c r="M94" s="455">
        <f t="shared" si="17"/>
        <v>2.5499999999999998E-2</v>
      </c>
      <c r="N94" s="455">
        <f t="shared" si="17"/>
        <v>2.3800000000000002E-2</v>
      </c>
      <c r="O94" s="455">
        <f t="shared" si="17"/>
        <v>2.2200000000000001E-2</v>
      </c>
      <c r="P94" s="455">
        <f t="shared" si="17"/>
        <v>1.9099999999999999E-2</v>
      </c>
      <c r="Q94" s="455">
        <f t="shared" si="17"/>
        <v>1.5800000000000002E-2</v>
      </c>
      <c r="R94" s="455">
        <f t="shared" si="17"/>
        <v>1.1399999999999999E-2</v>
      </c>
      <c r="S94" s="580"/>
      <c r="T94" s="581"/>
    </row>
    <row r="95" spans="1:20">
      <c r="A95" s="60" t="s">
        <v>175</v>
      </c>
      <c r="B95" s="71" t="s">
        <v>113</v>
      </c>
      <c r="C95" s="322">
        <v>6.8000000000000005E-2</v>
      </c>
      <c r="D95" s="323">
        <v>0.44359999999999999</v>
      </c>
      <c r="E95" s="324">
        <v>0.625</v>
      </c>
      <c r="F95" s="324">
        <v>0.64400000000000002</v>
      </c>
      <c r="G95" s="355">
        <v>2014</v>
      </c>
      <c r="H95" s="356" t="str">
        <f t="shared" si="7"/>
        <v>£m 09/10</v>
      </c>
      <c r="I95" s="356" t="s">
        <v>270</v>
      </c>
      <c r="J95" s="447" t="s">
        <v>471</v>
      </c>
      <c r="K95" s="457">
        <f t="shared" ref="K95:R96" si="18">C$68</f>
        <v>2.92E-2</v>
      </c>
      <c r="L95" s="455">
        <f t="shared" si="18"/>
        <v>2.7199999999999998E-2</v>
      </c>
      <c r="M95" s="455">
        <f t="shared" si="18"/>
        <v>2.5499999999999998E-2</v>
      </c>
      <c r="N95" s="455">
        <f t="shared" si="18"/>
        <v>2.3800000000000002E-2</v>
      </c>
      <c r="O95" s="455">
        <f t="shared" si="18"/>
        <v>2.2200000000000001E-2</v>
      </c>
      <c r="P95" s="455">
        <f t="shared" si="18"/>
        <v>1.9099999999999999E-2</v>
      </c>
      <c r="Q95" s="455">
        <f t="shared" si="18"/>
        <v>1.5800000000000002E-2</v>
      </c>
      <c r="R95" s="455">
        <f t="shared" si="18"/>
        <v>1.1399999999999999E-2</v>
      </c>
      <c r="S95" s="580"/>
      <c r="T95" s="581"/>
    </row>
    <row r="96" spans="1:20">
      <c r="A96" s="60" t="s">
        <v>175</v>
      </c>
      <c r="B96" s="71" t="s">
        <v>114</v>
      </c>
      <c r="C96" s="322">
        <v>6.8000000000000005E-2</v>
      </c>
      <c r="D96" s="323">
        <v>0.44359999999999999</v>
      </c>
      <c r="E96" s="324">
        <v>0.625</v>
      </c>
      <c r="F96" s="324">
        <v>0.374</v>
      </c>
      <c r="G96" s="355">
        <v>2014</v>
      </c>
      <c r="H96" s="356" t="str">
        <f t="shared" si="7"/>
        <v>£m 09/10</v>
      </c>
      <c r="I96" s="356" t="s">
        <v>270</v>
      </c>
      <c r="J96" s="447" t="s">
        <v>471</v>
      </c>
      <c r="K96" s="457">
        <f t="shared" si="18"/>
        <v>2.92E-2</v>
      </c>
      <c r="L96" s="455">
        <f t="shared" si="18"/>
        <v>2.7199999999999998E-2</v>
      </c>
      <c r="M96" s="455">
        <f t="shared" si="18"/>
        <v>2.5499999999999998E-2</v>
      </c>
      <c r="N96" s="455">
        <f t="shared" si="18"/>
        <v>2.3800000000000002E-2</v>
      </c>
      <c r="O96" s="455">
        <f t="shared" si="18"/>
        <v>2.2200000000000001E-2</v>
      </c>
      <c r="P96" s="455">
        <f t="shared" si="18"/>
        <v>1.9099999999999999E-2</v>
      </c>
      <c r="Q96" s="455">
        <f t="shared" si="18"/>
        <v>1.5800000000000002E-2</v>
      </c>
      <c r="R96" s="455">
        <f t="shared" si="18"/>
        <v>1.1399999999999999E-2</v>
      </c>
      <c r="S96" s="580"/>
      <c r="T96" s="581"/>
    </row>
    <row r="97" spans="1:20">
      <c r="A97" s="60" t="s">
        <v>174</v>
      </c>
      <c r="B97" s="71" t="s">
        <v>111</v>
      </c>
      <c r="C97" s="322">
        <v>7.0000000000000007E-2</v>
      </c>
      <c r="D97" s="323">
        <v>0.46889999999999998</v>
      </c>
      <c r="E97" s="324">
        <v>0.6</v>
      </c>
      <c r="F97" s="324">
        <v>0.85</v>
      </c>
      <c r="G97" s="355">
        <v>2014</v>
      </c>
      <c r="H97" s="356" t="str">
        <f t="shared" si="7"/>
        <v>£m 09/10</v>
      </c>
      <c r="I97" s="356" t="s">
        <v>270</v>
      </c>
      <c r="J97" s="447" t="s">
        <v>471</v>
      </c>
      <c r="K97" s="457">
        <f t="shared" ref="K97:R99" si="19">C$66</f>
        <v>2.92E-2</v>
      </c>
      <c r="L97" s="455">
        <f t="shared" si="19"/>
        <v>2.7199999999999998E-2</v>
      </c>
      <c r="M97" s="455">
        <f t="shared" si="19"/>
        <v>2.5499999999999998E-2</v>
      </c>
      <c r="N97" s="455">
        <f t="shared" si="19"/>
        <v>2.3800000000000002E-2</v>
      </c>
      <c r="O97" s="455">
        <f t="shared" si="19"/>
        <v>2.2200000000000001E-2</v>
      </c>
      <c r="P97" s="455">
        <f t="shared" si="19"/>
        <v>1.9099999999999999E-2</v>
      </c>
      <c r="Q97" s="455">
        <f t="shared" si="19"/>
        <v>1.5800000000000002E-2</v>
      </c>
      <c r="R97" s="455">
        <f t="shared" si="19"/>
        <v>1.1399999999999999E-2</v>
      </c>
      <c r="S97" s="580"/>
      <c r="T97" s="581"/>
    </row>
    <row r="98" spans="1:20">
      <c r="A98" s="60" t="s">
        <v>174</v>
      </c>
      <c r="B98" s="71" t="s">
        <v>112</v>
      </c>
      <c r="C98" s="322">
        <v>7.0000000000000007E-2</v>
      </c>
      <c r="D98" s="323">
        <v>0.46889999999999998</v>
      </c>
      <c r="E98" s="324">
        <v>0.6</v>
      </c>
      <c r="F98" s="324">
        <v>0.27900000000000003</v>
      </c>
      <c r="G98" s="341">
        <v>2014</v>
      </c>
      <c r="H98" s="342" t="str">
        <f>VLOOKUP($A98,$E$54:$F$57,2,FALSE)</f>
        <v>£m 09/10</v>
      </c>
      <c r="I98" s="339" t="s">
        <v>270</v>
      </c>
      <c r="J98" s="447" t="s">
        <v>471</v>
      </c>
      <c r="K98" s="457">
        <f t="shared" si="19"/>
        <v>2.92E-2</v>
      </c>
      <c r="L98" s="455">
        <f t="shared" si="19"/>
        <v>2.7199999999999998E-2</v>
      </c>
      <c r="M98" s="455">
        <f t="shared" si="19"/>
        <v>2.5499999999999998E-2</v>
      </c>
      <c r="N98" s="455">
        <f t="shared" si="19"/>
        <v>2.3800000000000002E-2</v>
      </c>
      <c r="O98" s="455">
        <f t="shared" si="19"/>
        <v>2.2200000000000001E-2</v>
      </c>
      <c r="P98" s="455">
        <f t="shared" si="19"/>
        <v>1.9099999999999999E-2</v>
      </c>
      <c r="Q98" s="455">
        <f t="shared" si="19"/>
        <v>1.5800000000000002E-2</v>
      </c>
      <c r="R98" s="455">
        <f t="shared" si="19"/>
        <v>1.1399999999999999E-2</v>
      </c>
      <c r="S98" s="580"/>
      <c r="T98" s="581"/>
    </row>
    <row r="99" spans="1:20">
      <c r="A99" s="60" t="s">
        <v>174</v>
      </c>
      <c r="B99" s="71" t="s">
        <v>60</v>
      </c>
      <c r="C99" s="322">
        <v>7.0000000000000007E-2</v>
      </c>
      <c r="D99" s="323">
        <v>0.5</v>
      </c>
      <c r="E99" s="324">
        <v>0.55000000000000004</v>
      </c>
      <c r="F99" s="324">
        <v>0.9</v>
      </c>
      <c r="G99" s="341">
        <v>2014</v>
      </c>
      <c r="H99" s="342" t="str">
        <f>VLOOKUP($A99,$E$54:$F$57,2,FALSE)</f>
        <v>£m 09/10</v>
      </c>
      <c r="I99" s="339" t="s">
        <v>271</v>
      </c>
      <c r="J99" s="447" t="s">
        <v>471</v>
      </c>
      <c r="K99" s="457">
        <f t="shared" si="19"/>
        <v>2.92E-2</v>
      </c>
      <c r="L99" s="455">
        <f t="shared" si="19"/>
        <v>2.7199999999999998E-2</v>
      </c>
      <c r="M99" s="455">
        <f t="shared" si="19"/>
        <v>2.5499999999999998E-2</v>
      </c>
      <c r="N99" s="455">
        <f t="shared" si="19"/>
        <v>2.3800000000000002E-2</v>
      </c>
      <c r="O99" s="455">
        <f t="shared" si="19"/>
        <v>2.2200000000000001E-2</v>
      </c>
      <c r="P99" s="455">
        <f t="shared" si="19"/>
        <v>1.9099999999999999E-2</v>
      </c>
      <c r="Q99" s="455">
        <f t="shared" si="19"/>
        <v>1.5800000000000002E-2</v>
      </c>
      <c r="R99" s="455">
        <f t="shared" si="19"/>
        <v>1.1399999999999999E-2</v>
      </c>
      <c r="S99" s="580"/>
      <c r="T99" s="581"/>
    </row>
    <row r="100" spans="1:20">
      <c r="A100" s="60" t="s">
        <v>174</v>
      </c>
      <c r="B100" s="72" t="s">
        <v>61</v>
      </c>
      <c r="C100" s="325">
        <v>7.0000000000000007E-2</v>
      </c>
      <c r="D100" s="326">
        <v>0.5</v>
      </c>
      <c r="E100" s="327">
        <v>0.55000000000000004</v>
      </c>
      <c r="F100" s="327">
        <v>0.9</v>
      </c>
      <c r="G100" s="343">
        <v>2014</v>
      </c>
      <c r="H100" s="344" t="str">
        <f>VLOOKUP($A100,$E$54:$F$57,2,FALSE)</f>
        <v>£m 09/10</v>
      </c>
      <c r="I100" s="340" t="s">
        <v>271</v>
      </c>
      <c r="J100" s="447" t="s">
        <v>471</v>
      </c>
      <c r="K100" s="458">
        <f t="shared" ref="K100:R100" si="20">C$65</f>
        <v>2.92E-2</v>
      </c>
      <c r="L100" s="456">
        <f t="shared" si="20"/>
        <v>2.5000000000000001E-2</v>
      </c>
      <c r="M100" s="456">
        <f t="shared" si="20"/>
        <v>2.1499999999999998E-2</v>
      </c>
      <c r="N100" s="456">
        <f t="shared" si="20"/>
        <v>1.7899999999999999E-2</v>
      </c>
      <c r="O100" s="456">
        <f t="shared" si="20"/>
        <v>1.5100000000000001E-2</v>
      </c>
      <c r="P100" s="456">
        <f t="shared" si="20"/>
        <v>1.1599999999999999E-2</v>
      </c>
      <c r="Q100" s="456">
        <f t="shared" si="20"/>
        <v>1.0200000000000001E-2</v>
      </c>
      <c r="R100" s="456">
        <f t="shared" si="20"/>
        <v>8.6E-3</v>
      </c>
      <c r="S100" s="582"/>
      <c r="T100" s="583"/>
    </row>
    <row r="101" spans="1:20">
      <c r="I101" s="66"/>
    </row>
    <row r="102" spans="1:20">
      <c r="I102" s="66"/>
    </row>
    <row r="103" spans="1:20">
      <c r="I103" s="66"/>
    </row>
    <row r="104" spans="1:20" ht="13.5">
      <c r="B104" s="14" t="s">
        <v>250</v>
      </c>
      <c r="D104" s="309"/>
      <c r="E104" s="309"/>
      <c r="F104" s="309"/>
      <c r="G104" s="309"/>
      <c r="H104" s="309"/>
      <c r="I104" s="309"/>
      <c r="J104" s="309"/>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17" t="s">
        <v>53</v>
      </c>
      <c r="C106" s="314">
        <v>0.5</v>
      </c>
      <c r="D106" s="314">
        <v>0.5714285714285714</v>
      </c>
      <c r="E106" s="314">
        <v>0.64285714285714279</v>
      </c>
      <c r="F106" s="314">
        <v>0.71428571428571419</v>
      </c>
      <c r="G106" s="314">
        <v>0.78571428571428559</v>
      </c>
      <c r="H106" s="314">
        <v>0.85714285714285698</v>
      </c>
      <c r="I106" s="314">
        <v>0.92857142857142838</v>
      </c>
      <c r="J106" s="315">
        <v>1</v>
      </c>
    </row>
    <row r="107" spans="1:20">
      <c r="B107" s="318" t="s">
        <v>54</v>
      </c>
      <c r="C107" s="225">
        <v>0.5</v>
      </c>
      <c r="D107" s="225">
        <v>0.5714285714285714</v>
      </c>
      <c r="E107" s="225">
        <v>0.64285714285714279</v>
      </c>
      <c r="F107" s="225">
        <v>0.71428571428571419</v>
      </c>
      <c r="G107" s="225">
        <v>0.78571428571428559</v>
      </c>
      <c r="H107" s="225">
        <v>0.85714285714285698</v>
      </c>
      <c r="I107" s="225">
        <v>0.92857142857142838</v>
      </c>
      <c r="J107" s="226">
        <v>1</v>
      </c>
    </row>
    <row r="108" spans="1:20">
      <c r="B108" s="318" t="s">
        <v>55</v>
      </c>
      <c r="C108" s="225">
        <v>0.5</v>
      </c>
      <c r="D108" s="225">
        <v>0.5714285714285714</v>
      </c>
      <c r="E108" s="225">
        <v>0.64285714285714279</v>
      </c>
      <c r="F108" s="225">
        <v>0.71428571428571419</v>
      </c>
      <c r="G108" s="225">
        <v>0.78571428571428559</v>
      </c>
      <c r="H108" s="225">
        <v>0.85714285714285698</v>
      </c>
      <c r="I108" s="225">
        <v>0.92857142857142838</v>
      </c>
      <c r="J108" s="226">
        <v>1</v>
      </c>
    </row>
    <row r="109" spans="1:20">
      <c r="B109" s="318" t="s">
        <v>56</v>
      </c>
      <c r="C109" s="225">
        <v>0.5</v>
      </c>
      <c r="D109" s="225">
        <v>0.5714285714285714</v>
      </c>
      <c r="E109" s="225">
        <v>0.64285714285714279</v>
      </c>
      <c r="F109" s="225">
        <v>0.71428571428571419</v>
      </c>
      <c r="G109" s="225">
        <v>0.78571428571428559</v>
      </c>
      <c r="H109" s="225">
        <v>0.85714285714285698</v>
      </c>
      <c r="I109" s="225">
        <v>0.92857142857142838</v>
      </c>
      <c r="J109" s="226">
        <v>1</v>
      </c>
    </row>
    <row r="110" spans="1:20">
      <c r="B110" s="318" t="s">
        <v>50</v>
      </c>
      <c r="C110" s="225">
        <v>0.5</v>
      </c>
      <c r="D110" s="225">
        <v>0.5714285714285714</v>
      </c>
      <c r="E110" s="225">
        <v>0.64285714285714279</v>
      </c>
      <c r="F110" s="225">
        <v>0.71428571428571419</v>
      </c>
      <c r="G110" s="225">
        <v>0.78571428571428559</v>
      </c>
      <c r="H110" s="225">
        <v>0.85714285714285698</v>
      </c>
      <c r="I110" s="225">
        <v>0.92857142857142838</v>
      </c>
      <c r="J110" s="226">
        <v>1</v>
      </c>
    </row>
    <row r="111" spans="1:20">
      <c r="B111" s="318" t="s">
        <v>52</v>
      </c>
      <c r="C111" s="225">
        <v>0.5</v>
      </c>
      <c r="D111" s="225">
        <v>0.5714285714285714</v>
      </c>
      <c r="E111" s="225">
        <v>0.64285714285714279</v>
      </c>
      <c r="F111" s="225">
        <v>0.71428571428571419</v>
      </c>
      <c r="G111" s="225">
        <v>0.78571428571428559</v>
      </c>
      <c r="H111" s="225">
        <v>0.85714285714285698</v>
      </c>
      <c r="I111" s="225">
        <v>0.92857142857142838</v>
      </c>
      <c r="J111" s="226">
        <v>1</v>
      </c>
    </row>
    <row r="112" spans="1:20">
      <c r="B112" s="318" t="s">
        <v>51</v>
      </c>
      <c r="C112" s="225">
        <v>0.5</v>
      </c>
      <c r="D112" s="225">
        <v>0.5714285714285714</v>
      </c>
      <c r="E112" s="225">
        <v>0.64285714285714279</v>
      </c>
      <c r="F112" s="225">
        <v>0.71428571428571419</v>
      </c>
      <c r="G112" s="225">
        <v>0.78571428571428559</v>
      </c>
      <c r="H112" s="225">
        <v>0.85714285714285698</v>
      </c>
      <c r="I112" s="225">
        <v>0.92857142857142838</v>
      </c>
      <c r="J112" s="226">
        <v>1</v>
      </c>
    </row>
    <row r="113" spans="2:15">
      <c r="B113" s="440" t="s">
        <v>49</v>
      </c>
      <c r="C113" s="441">
        <v>0.5</v>
      </c>
      <c r="D113" s="441">
        <v>0.5714285714285714</v>
      </c>
      <c r="E113" s="441">
        <v>0.64285714285714279</v>
      </c>
      <c r="F113" s="441">
        <v>0.71428571428571419</v>
      </c>
      <c r="G113" s="441">
        <v>0.78571428571428559</v>
      </c>
      <c r="H113" s="441">
        <v>0.85714285714285698</v>
      </c>
      <c r="I113" s="441">
        <v>0.92857142857142838</v>
      </c>
      <c r="J113" s="442">
        <v>1</v>
      </c>
    </row>
    <row r="114" spans="2:15">
      <c r="B114" s="318" t="s">
        <v>113</v>
      </c>
      <c r="C114" s="225">
        <v>0.9</v>
      </c>
      <c r="D114" s="225">
        <v>0.9</v>
      </c>
      <c r="E114" s="225">
        <v>0.9</v>
      </c>
      <c r="F114" s="225">
        <v>0.9</v>
      </c>
      <c r="G114" s="225">
        <v>0.9</v>
      </c>
      <c r="H114" s="225">
        <v>0.9</v>
      </c>
      <c r="I114" s="225">
        <v>0.9</v>
      </c>
      <c r="J114" s="226">
        <v>0.9</v>
      </c>
    </row>
    <row r="115" spans="2:15">
      <c r="B115" s="319" t="s">
        <v>114</v>
      </c>
      <c r="C115" s="587"/>
      <c r="D115" s="587"/>
      <c r="E115" s="587"/>
      <c r="F115" s="587"/>
      <c r="G115" s="587"/>
      <c r="H115" s="587"/>
      <c r="I115" s="587"/>
      <c r="J115" s="587"/>
    </row>
    <row r="116" spans="2:15">
      <c r="B116" s="420"/>
      <c r="C116" s="481"/>
      <c r="D116" s="481"/>
      <c r="E116" s="481"/>
      <c r="F116" s="481"/>
      <c r="G116" s="481"/>
      <c r="H116" s="481"/>
      <c r="I116" s="481"/>
      <c r="J116" s="481"/>
      <c r="M116" s="32"/>
      <c r="N116" s="32"/>
      <c r="O116" s="32"/>
    </row>
    <row r="117" spans="2:15">
      <c r="B117" s="420"/>
      <c r="C117" s="481"/>
      <c r="D117" s="481"/>
      <c r="E117" s="481"/>
      <c r="F117" s="481"/>
      <c r="G117" s="481"/>
      <c r="H117" s="481"/>
      <c r="I117" s="481"/>
      <c r="J117" s="481"/>
      <c r="K117" s="382"/>
      <c r="L117" s="382"/>
      <c r="M117" s="32"/>
      <c r="N117" s="32"/>
      <c r="O117" s="32"/>
    </row>
    <row r="118" spans="2:15">
      <c r="B118" s="491"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202">
        <f t="shared" si="22"/>
        <v>2023</v>
      </c>
      <c r="M118" s="32"/>
      <c r="N118" s="32"/>
      <c r="O118" s="32"/>
    </row>
    <row r="119" spans="2:15">
      <c r="B119" s="482" t="s">
        <v>43</v>
      </c>
      <c r="C119" s="584"/>
      <c r="D119" s="585"/>
      <c r="E119" s="484">
        <v>1.5575632164737283</v>
      </c>
      <c r="F119" s="484">
        <v>1.4734141240658321</v>
      </c>
      <c r="G119" s="484">
        <v>1.4689588897025405</v>
      </c>
      <c r="H119" s="484">
        <v>1.4707200530126929</v>
      </c>
      <c r="I119" s="484">
        <v>1.4674716260161711</v>
      </c>
      <c r="J119" s="484">
        <v>1.4486206224386007</v>
      </c>
      <c r="K119" s="484">
        <v>1.4956798325868756</v>
      </c>
      <c r="L119" s="485">
        <v>1.4397148718051931</v>
      </c>
      <c r="M119" s="32"/>
      <c r="N119" s="32"/>
      <c r="O119" s="32"/>
    </row>
    <row r="120" spans="2:15">
      <c r="B120" s="482" t="s">
        <v>44</v>
      </c>
      <c r="C120" s="586"/>
      <c r="D120" s="587"/>
      <c r="E120" s="486">
        <v>-0.65871781800535345</v>
      </c>
      <c r="F120" s="486">
        <v>-0.63543772576063684</v>
      </c>
      <c r="G120" s="486">
        <v>-0.58907862874233818</v>
      </c>
      <c r="H120" s="486">
        <v>-0.58178188190178026</v>
      </c>
      <c r="I120" s="486">
        <v>-0.56823918867341305</v>
      </c>
      <c r="J120" s="486">
        <v>-0.51933170333654122</v>
      </c>
      <c r="K120" s="486">
        <v>-0.47962665852661612</v>
      </c>
      <c r="L120" s="487">
        <v>-0.4656874701170608</v>
      </c>
      <c r="M120" s="32"/>
      <c r="N120" s="32"/>
      <c r="O120" s="32"/>
    </row>
    <row r="121" spans="2:15">
      <c r="B121" s="482" t="s">
        <v>73</v>
      </c>
      <c r="C121" s="586"/>
      <c r="D121" s="587"/>
      <c r="E121" s="486">
        <v>-0.86626036283610952</v>
      </c>
      <c r="F121" s="486">
        <v>-0.81019773780890636</v>
      </c>
      <c r="G121" s="486">
        <v>-0.78919084241395188</v>
      </c>
      <c r="H121" s="486">
        <v>-0.79061873066036981</v>
      </c>
      <c r="I121" s="486">
        <v>-0.74432653414361061</v>
      </c>
      <c r="J121" s="486">
        <v>-0.70697274816976396</v>
      </c>
      <c r="K121" s="486">
        <v>-0.65350946162011747</v>
      </c>
      <c r="L121" s="487">
        <v>-0.66429758885743451</v>
      </c>
      <c r="M121" s="32"/>
      <c r="N121" s="32"/>
      <c r="O121" s="32"/>
    </row>
    <row r="122" spans="2:15">
      <c r="B122" s="482" t="s">
        <v>59</v>
      </c>
      <c r="C122" s="586"/>
      <c r="D122" s="587"/>
      <c r="E122" s="486">
        <v>-3.2612134183503572</v>
      </c>
      <c r="F122" s="486">
        <v>-3.3462554451402173</v>
      </c>
      <c r="G122" s="486">
        <v>-3.1732919768141143</v>
      </c>
      <c r="H122" s="486">
        <v>-3.1232404745251841</v>
      </c>
      <c r="I122" s="486">
        <v>-3.0767551306224106</v>
      </c>
      <c r="J122" s="486">
        <v>-2.9342177182087767</v>
      </c>
      <c r="K122" s="486">
        <v>-2.8825938479182072</v>
      </c>
      <c r="L122" s="487">
        <v>-2.7237011003750218</v>
      </c>
      <c r="M122" s="32"/>
      <c r="N122" s="32"/>
      <c r="O122" s="32"/>
    </row>
    <row r="123" spans="2:15">
      <c r="B123" s="482" t="s">
        <v>57</v>
      </c>
      <c r="C123" s="586"/>
      <c r="D123" s="587"/>
      <c r="E123" s="486">
        <v>-2.4260972367898193</v>
      </c>
      <c r="F123" s="486">
        <v>-2.3690383662844163</v>
      </c>
      <c r="G123" s="486">
        <v>-2.2433276600060932</v>
      </c>
      <c r="H123" s="486">
        <v>-2.1466020621213828</v>
      </c>
      <c r="I123" s="486">
        <v>-2.174009678716605</v>
      </c>
      <c r="J123" s="486">
        <v>-2.0538927838998693</v>
      </c>
      <c r="K123" s="486">
        <v>-1.9044581231060691</v>
      </c>
      <c r="L123" s="487">
        <v>-1.8008611131009082</v>
      </c>
      <c r="M123" s="32"/>
      <c r="N123" s="32"/>
      <c r="O123" s="32"/>
    </row>
    <row r="124" spans="2:15">
      <c r="B124" s="482" t="s">
        <v>58</v>
      </c>
      <c r="C124" s="586"/>
      <c r="D124" s="587"/>
      <c r="E124" s="486">
        <v>-2.1861012409352765</v>
      </c>
      <c r="F124" s="486">
        <v>-2.3820447425774849</v>
      </c>
      <c r="G124" s="486">
        <v>-2.2418672366929897</v>
      </c>
      <c r="H124" s="486">
        <v>-2.1147812646907029</v>
      </c>
      <c r="I124" s="486">
        <v>-2.0146177086326591</v>
      </c>
      <c r="J124" s="486">
        <v>-1.9421313262105093</v>
      </c>
      <c r="K124" s="486">
        <v>-1.9248856430948595</v>
      </c>
      <c r="L124" s="487">
        <v>-1.8464451304225615</v>
      </c>
      <c r="M124" s="32"/>
      <c r="N124" s="32"/>
      <c r="O124" s="32"/>
    </row>
    <row r="125" spans="2:15">
      <c r="B125" s="482" t="s">
        <v>45</v>
      </c>
      <c r="C125" s="586"/>
      <c r="D125" s="587"/>
      <c r="E125" s="486">
        <v>-1.8633532543800757</v>
      </c>
      <c r="F125" s="486">
        <v>-1.8182980405067262</v>
      </c>
      <c r="G125" s="486">
        <v>-1.83946756302578</v>
      </c>
      <c r="H125" s="486">
        <v>-1.7415973428180247</v>
      </c>
      <c r="I125" s="486">
        <v>-1.6798002111470465</v>
      </c>
      <c r="J125" s="486">
        <v>-1.5974456358596774</v>
      </c>
      <c r="K125" s="486">
        <v>-1.5016396120831343</v>
      </c>
      <c r="L125" s="487">
        <v>-1.4453638876860204</v>
      </c>
      <c r="M125" s="32"/>
      <c r="N125" s="32"/>
      <c r="O125" s="32"/>
    </row>
    <row r="126" spans="2:15">
      <c r="B126" s="482" t="s">
        <v>46</v>
      </c>
      <c r="C126" s="586"/>
      <c r="D126" s="587"/>
      <c r="E126" s="486">
        <v>-2.1317145269512103</v>
      </c>
      <c r="F126" s="486">
        <v>-2.193973633026753</v>
      </c>
      <c r="G126" s="486">
        <v>-1.9869010217130036</v>
      </c>
      <c r="H126" s="486">
        <v>-1.8037552784318813</v>
      </c>
      <c r="I126" s="486">
        <v>-1.7767942495618843</v>
      </c>
      <c r="J126" s="486">
        <v>-1.7901472583807538</v>
      </c>
      <c r="K126" s="486">
        <v>-1.6444113686346382</v>
      </c>
      <c r="L126" s="487">
        <v>-1.467384504290556</v>
      </c>
      <c r="M126" s="32"/>
      <c r="N126" s="32"/>
      <c r="O126" s="32"/>
    </row>
    <row r="127" spans="2:15">
      <c r="B127" s="482" t="s">
        <v>47</v>
      </c>
      <c r="C127" s="586"/>
      <c r="D127" s="587"/>
      <c r="E127" s="486">
        <v>0.16599721814464838</v>
      </c>
      <c r="F127" s="486">
        <v>0.16631900606776751</v>
      </c>
      <c r="G127" s="486">
        <v>0.16554337895881124</v>
      </c>
      <c r="H127" s="486">
        <v>0.16569741136821181</v>
      </c>
      <c r="I127" s="486">
        <v>0.16622630759870036</v>
      </c>
      <c r="J127" s="486">
        <v>0.16380302414374548</v>
      </c>
      <c r="K127" s="486">
        <v>0.16593344617950709</v>
      </c>
      <c r="L127" s="487">
        <v>0.16036688822048883</v>
      </c>
      <c r="M127" s="32"/>
      <c r="N127" s="32"/>
      <c r="O127" s="32"/>
    </row>
    <row r="128" spans="2:15">
      <c r="B128" s="482" t="s">
        <v>48</v>
      </c>
      <c r="C128" s="586"/>
      <c r="D128" s="587"/>
      <c r="E128" s="486">
        <v>0.3648271976377423</v>
      </c>
      <c r="F128" s="486">
        <v>0.37109083837102003</v>
      </c>
      <c r="G128" s="486">
        <v>0.36071859106606846</v>
      </c>
      <c r="H128" s="486">
        <v>0.35927814835295946</v>
      </c>
      <c r="I128" s="486">
        <v>0.3227419487574148</v>
      </c>
      <c r="J128" s="486">
        <v>0.32139075529498529</v>
      </c>
      <c r="K128" s="486">
        <v>0.32876178406363676</v>
      </c>
      <c r="L128" s="487">
        <v>0.31920430794598709</v>
      </c>
      <c r="M128" s="32"/>
      <c r="N128" s="32"/>
      <c r="O128" s="32"/>
    </row>
    <row r="129" spans="2:15">
      <c r="B129" s="482" t="s">
        <v>246</v>
      </c>
      <c r="C129" s="586"/>
      <c r="D129" s="587"/>
      <c r="E129" s="486">
        <v>7.1281196754416492</v>
      </c>
      <c r="F129" s="486">
        <v>6.9674138399666772</v>
      </c>
      <c r="G129" s="486">
        <v>6.2034025893135132</v>
      </c>
      <c r="H129" s="486">
        <v>6.3085978915797085</v>
      </c>
      <c r="I129" s="486">
        <v>6.2376648400128394</v>
      </c>
      <c r="J129" s="486">
        <v>6.4865819943041139</v>
      </c>
      <c r="K129" s="486">
        <v>6.8152516624832584</v>
      </c>
      <c r="L129" s="487">
        <v>6.6271056201039169</v>
      </c>
      <c r="M129" s="32"/>
      <c r="N129" s="32"/>
      <c r="O129" s="32"/>
    </row>
    <row r="130" spans="2:15">
      <c r="B130" s="482" t="s">
        <v>247</v>
      </c>
      <c r="C130" s="586"/>
      <c r="D130" s="587"/>
      <c r="E130" s="486">
        <v>6.5079014730517413</v>
      </c>
      <c r="F130" s="486">
        <v>6.5166167406950333</v>
      </c>
      <c r="G130" s="486">
        <v>6.3292456496722922</v>
      </c>
      <c r="H130" s="486">
        <v>6.4407397408462082</v>
      </c>
      <c r="I130" s="486">
        <v>6.6367331985058957</v>
      </c>
      <c r="J130" s="486">
        <v>6.7568163761394304</v>
      </c>
      <c r="K130" s="486">
        <v>6.6961234445143969</v>
      </c>
      <c r="L130" s="487">
        <v>6.7647427548792596</v>
      </c>
      <c r="M130" s="32"/>
      <c r="N130" s="32"/>
      <c r="O130" s="32"/>
    </row>
    <row r="131" spans="2:15">
      <c r="B131" s="482" t="s">
        <v>248</v>
      </c>
      <c r="C131" s="586"/>
      <c r="D131" s="587"/>
      <c r="E131" s="486">
        <v>3.6763138465229663</v>
      </c>
      <c r="F131" s="486">
        <v>3.6748350873956013</v>
      </c>
      <c r="G131" s="486">
        <v>3.4998529635433906</v>
      </c>
      <c r="H131" s="486">
        <v>3.724685546648324</v>
      </c>
      <c r="I131" s="486">
        <v>3.4121739487309477</v>
      </c>
      <c r="J131" s="486">
        <v>3.4202241027689042</v>
      </c>
      <c r="K131" s="486">
        <v>3.3053549439575329</v>
      </c>
      <c r="L131" s="487">
        <v>3.3633285641010966</v>
      </c>
      <c r="M131" s="32"/>
      <c r="N131" s="32"/>
      <c r="O131" s="32"/>
    </row>
    <row r="132" spans="2:15">
      <c r="B132" s="482" t="s">
        <v>249</v>
      </c>
      <c r="C132" s="586"/>
      <c r="D132" s="587"/>
      <c r="E132" s="486">
        <v>5.3762701961708466</v>
      </c>
      <c r="F132" s="486">
        <v>5.3775969760840585</v>
      </c>
      <c r="G132" s="486">
        <v>5.2618102801807671</v>
      </c>
      <c r="H132" s="486">
        <v>5.360849180672294</v>
      </c>
      <c r="I132" s="486">
        <v>5.2665238228731912</v>
      </c>
      <c r="J132" s="486">
        <v>5.3271179030285305</v>
      </c>
      <c r="K132" s="486">
        <v>5.3223294006601192</v>
      </c>
      <c r="L132" s="487">
        <v>5.5699880746272257</v>
      </c>
      <c r="M132" s="32"/>
      <c r="N132" s="32"/>
      <c r="O132" s="32"/>
    </row>
    <row r="133" spans="2:15">
      <c r="B133" s="482" t="s">
        <v>53</v>
      </c>
      <c r="C133" s="488">
        <v>1.4371556068940596</v>
      </c>
      <c r="D133" s="486">
        <v>1.3718015630879741</v>
      </c>
      <c r="E133" s="486">
        <v>1.3507660107019517</v>
      </c>
      <c r="F133" s="486">
        <v>1.356812198977974</v>
      </c>
      <c r="G133" s="486">
        <v>1.3598136386487443</v>
      </c>
      <c r="H133" s="486">
        <v>1.3501475065962032</v>
      </c>
      <c r="I133" s="486">
        <v>1.3298433305384654</v>
      </c>
      <c r="J133" s="486">
        <v>1.3174540960763355</v>
      </c>
      <c r="K133" s="587"/>
      <c r="L133" s="588"/>
      <c r="M133" s="32"/>
      <c r="N133" s="32"/>
      <c r="O133" s="32"/>
    </row>
    <row r="134" spans="2:15">
      <c r="B134" s="482" t="s">
        <v>54</v>
      </c>
      <c r="C134" s="488">
        <v>1.2224510767557433</v>
      </c>
      <c r="D134" s="486">
        <v>1.2198157429394254</v>
      </c>
      <c r="E134" s="486">
        <v>1.2942164825881293</v>
      </c>
      <c r="F134" s="486">
        <v>1.2596396269108345</v>
      </c>
      <c r="G134" s="486">
        <v>1.2840112184368913</v>
      </c>
      <c r="H134" s="486">
        <v>1.2678511857965422</v>
      </c>
      <c r="I134" s="486">
        <v>1.2592019055105816</v>
      </c>
      <c r="J134" s="486">
        <v>1.257376658609527</v>
      </c>
      <c r="K134" s="587"/>
      <c r="L134" s="588"/>
      <c r="M134" s="32"/>
      <c r="N134" s="32"/>
      <c r="O134" s="32"/>
    </row>
    <row r="135" spans="2:15">
      <c r="B135" s="482" t="s">
        <v>55</v>
      </c>
      <c r="C135" s="488">
        <v>0.82325002294811445</v>
      </c>
      <c r="D135" s="486">
        <v>0.82663571281128501</v>
      </c>
      <c r="E135" s="486">
        <v>0.79640504595610451</v>
      </c>
      <c r="F135" s="486">
        <v>0.78757021450124798</v>
      </c>
      <c r="G135" s="486">
        <v>0.81133252861207505</v>
      </c>
      <c r="H135" s="486">
        <v>0.81064228783969072</v>
      </c>
      <c r="I135" s="486">
        <v>0.80900368952296353</v>
      </c>
      <c r="J135" s="486">
        <v>0.78043276967968189</v>
      </c>
      <c r="K135" s="587"/>
      <c r="L135" s="588"/>
      <c r="M135" s="32"/>
      <c r="N135" s="32"/>
      <c r="O135" s="32"/>
    </row>
    <row r="136" spans="2:15">
      <c r="B136" s="482" t="s">
        <v>56</v>
      </c>
      <c r="C136" s="488">
        <v>1.0893959849781105</v>
      </c>
      <c r="D136" s="486">
        <v>1.027913194554035</v>
      </c>
      <c r="E136" s="486">
        <v>1.0066987144123654</v>
      </c>
      <c r="F136" s="486">
        <v>1.0192350900597893</v>
      </c>
      <c r="G136" s="486">
        <v>1.0341480780318344</v>
      </c>
      <c r="H136" s="486">
        <v>1.0204240792759967</v>
      </c>
      <c r="I136" s="486">
        <v>1.0137739549704501</v>
      </c>
      <c r="J136" s="486">
        <v>0.9898055017218621</v>
      </c>
      <c r="K136" s="587"/>
      <c r="L136" s="588"/>
      <c r="M136" s="32"/>
      <c r="N136" s="32"/>
      <c r="O136" s="32"/>
    </row>
    <row r="137" spans="2:15">
      <c r="B137" s="482" t="s">
        <v>50</v>
      </c>
      <c r="C137" s="488">
        <v>3.0675250143183739</v>
      </c>
      <c r="D137" s="486">
        <v>3.1629219417602221</v>
      </c>
      <c r="E137" s="486">
        <v>3.2156604222069194</v>
      </c>
      <c r="F137" s="486">
        <v>3.1773534622131239</v>
      </c>
      <c r="G137" s="486">
        <v>2.9925267771957293</v>
      </c>
      <c r="H137" s="486">
        <v>2.9953978987575276</v>
      </c>
      <c r="I137" s="486">
        <v>3.008780645638939</v>
      </c>
      <c r="J137" s="486">
        <v>3.0035530345258876</v>
      </c>
      <c r="K137" s="587"/>
      <c r="L137" s="588"/>
      <c r="M137" s="32"/>
      <c r="N137" s="32"/>
      <c r="O137" s="32"/>
    </row>
    <row r="138" spans="2:15">
      <c r="B138" s="482" t="s">
        <v>52</v>
      </c>
      <c r="C138" s="488">
        <v>2.1240897362733717</v>
      </c>
      <c r="D138" s="486">
        <v>2.0350723340362249</v>
      </c>
      <c r="E138" s="486">
        <v>1.9686998072928457</v>
      </c>
      <c r="F138" s="486">
        <v>2.0858456765056492</v>
      </c>
      <c r="G138" s="486">
        <v>2.1150393198028121</v>
      </c>
      <c r="H138" s="486">
        <v>2.0960407823683633</v>
      </c>
      <c r="I138" s="486">
        <v>1.9709648894580449</v>
      </c>
      <c r="J138" s="486">
        <v>1.9558237270696361</v>
      </c>
      <c r="K138" s="587"/>
      <c r="L138" s="588"/>
      <c r="M138" s="32"/>
      <c r="N138" s="32"/>
      <c r="O138" s="32"/>
    </row>
    <row r="139" spans="2:15">
      <c r="B139" s="482" t="s">
        <v>51</v>
      </c>
      <c r="C139" s="488">
        <v>4.3724011747736116</v>
      </c>
      <c r="D139" s="486">
        <v>4.1057641662653896</v>
      </c>
      <c r="E139" s="486">
        <v>4.0545669929819539</v>
      </c>
      <c r="F139" s="486">
        <v>4.1740927460581894</v>
      </c>
      <c r="G139" s="486">
        <v>4.2397101975440528</v>
      </c>
      <c r="H139" s="486">
        <v>4.2461477210751069</v>
      </c>
      <c r="I139" s="486">
        <v>4.1078523076276792</v>
      </c>
      <c r="J139" s="486">
        <v>4.0575944965475035</v>
      </c>
      <c r="K139" s="587"/>
      <c r="L139" s="588"/>
      <c r="M139" s="32"/>
      <c r="N139" s="32"/>
      <c r="O139" s="32"/>
    </row>
    <row r="140" spans="2:15">
      <c r="B140" s="482" t="s">
        <v>49</v>
      </c>
      <c r="C140" s="488">
        <v>1.3982776671905828</v>
      </c>
      <c r="D140" s="486">
        <v>1.3864649866746799</v>
      </c>
      <c r="E140" s="486">
        <v>1.3673040530931269</v>
      </c>
      <c r="F140" s="486">
        <v>1.3493453776780693</v>
      </c>
      <c r="G140" s="486">
        <v>1.3347777856873293</v>
      </c>
      <c r="H140" s="486">
        <v>1.3354887108693174</v>
      </c>
      <c r="I140" s="486">
        <v>1.3597799661606067</v>
      </c>
      <c r="J140" s="486">
        <v>1.3515240072037848</v>
      </c>
      <c r="K140" s="587"/>
      <c r="L140" s="588"/>
      <c r="M140" s="32"/>
      <c r="N140" s="32"/>
      <c r="O140" s="32"/>
    </row>
    <row r="141" spans="2:15">
      <c r="B141" s="482" t="s">
        <v>113</v>
      </c>
      <c r="C141" s="488">
        <v>-1.1295718210052885</v>
      </c>
      <c r="D141" s="486">
        <v>-1.1444007312827333</v>
      </c>
      <c r="E141" s="486">
        <v>-1.1763817360750841</v>
      </c>
      <c r="F141" s="486">
        <v>-1.5927557463957547</v>
      </c>
      <c r="G141" s="486">
        <v>-1.8565667598967899</v>
      </c>
      <c r="H141" s="486">
        <v>-1.2720416735170972</v>
      </c>
      <c r="I141" s="486">
        <v>-1.1039739947823479</v>
      </c>
      <c r="J141" s="486">
        <v>-1.018311326547777</v>
      </c>
      <c r="K141" s="587"/>
      <c r="L141" s="588"/>
      <c r="M141" s="32"/>
      <c r="N141" s="32"/>
      <c r="O141" s="32"/>
    </row>
    <row r="142" spans="2:15">
      <c r="B142" s="482" t="s">
        <v>114</v>
      </c>
      <c r="C142" s="488">
        <v>-0.43181154987245485</v>
      </c>
      <c r="D142" s="486">
        <v>-0.39947195996305995</v>
      </c>
      <c r="E142" s="486">
        <v>-0.34734317043598018</v>
      </c>
      <c r="F142" s="486">
        <v>-0.3193206524905472</v>
      </c>
      <c r="G142" s="486">
        <v>-0.31265626882301373</v>
      </c>
      <c r="H142" s="486">
        <v>-0.30799379948941219</v>
      </c>
      <c r="I142" s="486">
        <v>-0.32570922921081308</v>
      </c>
      <c r="J142" s="486">
        <v>-0.31552026220892354</v>
      </c>
      <c r="K142" s="587"/>
      <c r="L142" s="588"/>
      <c r="M142" s="32"/>
      <c r="N142" s="32"/>
      <c r="O142" s="32"/>
    </row>
    <row r="143" spans="2:15">
      <c r="B143" s="482" t="s">
        <v>111</v>
      </c>
      <c r="C143" s="488">
        <v>15.168246288518162</v>
      </c>
      <c r="D143" s="486">
        <v>16.275110005972994</v>
      </c>
      <c r="E143" s="486">
        <v>15.614702904478012</v>
      </c>
      <c r="F143" s="486">
        <v>14.911674359737152</v>
      </c>
      <c r="G143" s="486">
        <v>13.033415757853545</v>
      </c>
      <c r="H143" s="486">
        <v>12.556067765830047</v>
      </c>
      <c r="I143" s="486">
        <v>11.285100906339711</v>
      </c>
      <c r="J143" s="486">
        <v>9.8268179419485548</v>
      </c>
      <c r="K143" s="587"/>
      <c r="L143" s="588"/>
      <c r="M143" s="32"/>
      <c r="N143" s="32"/>
      <c r="O143" s="32"/>
    </row>
    <row r="144" spans="2:15">
      <c r="B144" s="482" t="s">
        <v>112</v>
      </c>
      <c r="C144" s="488">
        <v>0.93219394583370063</v>
      </c>
      <c r="D144" s="486">
        <v>0.89969793099769957</v>
      </c>
      <c r="E144" s="486">
        <v>0.87783267686821997</v>
      </c>
      <c r="F144" s="486">
        <v>0.87232109317784756</v>
      </c>
      <c r="G144" s="486">
        <v>0.89875958568159287</v>
      </c>
      <c r="H144" s="486">
        <v>0.82801710222961222</v>
      </c>
      <c r="I144" s="486">
        <v>0.88417658562860901</v>
      </c>
      <c r="J144" s="486">
        <v>0.89982415652833247</v>
      </c>
      <c r="K144" s="587"/>
      <c r="L144" s="588"/>
      <c r="M144" s="32"/>
      <c r="N144" s="32"/>
      <c r="O144" s="32"/>
    </row>
    <row r="145" spans="1:15">
      <c r="B145" s="482" t="s">
        <v>60</v>
      </c>
      <c r="C145" s="488">
        <v>10.952751093909903</v>
      </c>
      <c r="D145" s="486">
        <v>1.3412683602121493</v>
      </c>
      <c r="E145" s="486">
        <v>22.190179414419269</v>
      </c>
      <c r="F145" s="486">
        <v>7.0488483253947072</v>
      </c>
      <c r="G145" s="486">
        <v>6.9020695692988534</v>
      </c>
      <c r="H145" s="486">
        <v>6.9425238085580094</v>
      </c>
      <c r="I145" s="486">
        <v>7.0785069781779111</v>
      </c>
      <c r="J145" s="486">
        <v>5.2688524500291916</v>
      </c>
      <c r="K145" s="587"/>
      <c r="L145" s="588"/>
      <c r="M145" s="32"/>
      <c r="N145" s="32"/>
      <c r="O145" s="32"/>
    </row>
    <row r="146" spans="1:15">
      <c r="B146" s="483" t="s">
        <v>61</v>
      </c>
      <c r="C146" s="489">
        <v>4.7850556060781999</v>
      </c>
      <c r="D146" s="490">
        <v>4.9736597194598335</v>
      </c>
      <c r="E146" s="490">
        <v>5.6988662496343032</v>
      </c>
      <c r="F146" s="490">
        <v>3.7921077312788807</v>
      </c>
      <c r="G146" s="490">
        <v>2.8512563802087829</v>
      </c>
      <c r="H146" s="490">
        <v>2.8799765245720623</v>
      </c>
      <c r="I146" s="490">
        <v>2.9074703511454074</v>
      </c>
      <c r="J146" s="490">
        <v>2.8191074376225309</v>
      </c>
      <c r="K146" s="589"/>
      <c r="L146" s="590"/>
      <c r="M146" s="32"/>
      <c r="N146" s="32"/>
      <c r="O146" s="32"/>
    </row>
    <row r="147" spans="1:15">
      <c r="B147" s="32"/>
      <c r="C147" s="32"/>
      <c r="D147" s="32"/>
      <c r="E147" s="32"/>
      <c r="F147" s="32"/>
      <c r="G147" s="32"/>
      <c r="H147" s="32"/>
      <c r="I147" s="32"/>
      <c r="J147" s="32"/>
      <c r="K147" s="32"/>
      <c r="L147" s="32"/>
      <c r="M147" s="32"/>
      <c r="N147" s="32"/>
      <c r="O147" s="32"/>
    </row>
    <row r="148" spans="1:15">
      <c r="B148" s="420"/>
      <c r="C148" s="382"/>
      <c r="D148" s="382"/>
      <c r="E148" s="382"/>
      <c r="F148" s="382"/>
      <c r="G148" s="382"/>
      <c r="H148" s="382"/>
      <c r="I148" s="382"/>
      <c r="J148" s="382"/>
      <c r="K148" s="32"/>
      <c r="L148" s="32"/>
      <c r="M148" s="32"/>
    </row>
    <row r="149" spans="1:15">
      <c r="B149" s="445" t="str">
        <f>LEFT('RFPR cover'!C6,2)</f>
        <v>ET</v>
      </c>
      <c r="C149" s="443"/>
      <c r="D149" s="443"/>
      <c r="E149" s="443"/>
      <c r="F149" s="443"/>
      <c r="G149" s="443"/>
      <c r="H149" s="443"/>
      <c r="I149" s="443"/>
      <c r="J149" s="443"/>
      <c r="K149" s="443"/>
      <c r="L149" s="444"/>
    </row>
    <row r="150" spans="1:15" ht="14.25" customHeight="1">
      <c r="A150" s="213"/>
      <c r="B150" s="479" t="s">
        <v>392</v>
      </c>
      <c r="C150" s="480"/>
      <c r="D150" s="480"/>
      <c r="E150" s="480"/>
      <c r="F150" s="478"/>
      <c r="G150" s="478"/>
      <c r="H150" s="478"/>
      <c r="I150" s="478"/>
      <c r="J150" s="478"/>
      <c r="K150" s="478"/>
      <c r="L150" s="478"/>
      <c r="M150" s="478"/>
      <c r="N150" s="478"/>
    </row>
    <row r="151" spans="1:15" s="32" customFormat="1" ht="14.25" customHeight="1">
      <c r="A151" s="825"/>
      <c r="B151" s="826"/>
      <c r="C151" s="827"/>
      <c r="D151" s="827"/>
      <c r="E151" s="827"/>
      <c r="F151" s="828"/>
      <c r="G151" s="828"/>
      <c r="H151" s="828"/>
      <c r="I151" s="828"/>
      <c r="J151" s="828"/>
      <c r="K151" s="828"/>
      <c r="L151" s="828"/>
      <c r="M151" s="828"/>
      <c r="N151" s="828"/>
    </row>
    <row r="152" spans="1:15">
      <c r="A152" s="211"/>
      <c r="B152" s="829" t="s">
        <v>398</v>
      </c>
      <c r="C152" s="214"/>
      <c r="D152" s="214"/>
      <c r="E152" s="830" t="b">
        <f>OR((LEFT('RFPR cover'!$C$6,2)=Data!F152),'RFPR cover'!$C$5=Data!F152)</f>
        <v>0</v>
      </c>
      <c r="F152" s="381" t="str">
        <f>B162</f>
        <v>ED</v>
      </c>
      <c r="G152" s="831"/>
    </row>
    <row r="153" spans="1:15">
      <c r="A153" s="211"/>
      <c r="B153" s="846" t="str">
        <f t="shared" ref="B153:B160" si="23">CHOOSE(MATCH(TRUE,$E$152:$E$159,0),B163,B173,B183,E183,B193,E193,B203,E203)&amp;""</f>
        <v>Network Reliability Incentive</v>
      </c>
      <c r="C153" s="214"/>
      <c r="D153" s="214"/>
      <c r="E153" s="832" t="b">
        <f>OR((LEFT('RFPR cover'!$C$6,2)=Data!F153),'RFPR cover'!$C$5=Data!F153)</f>
        <v>0</v>
      </c>
      <c r="F153" s="382" t="str">
        <f>B172</f>
        <v>GD</v>
      </c>
      <c r="G153" s="210"/>
    </row>
    <row r="154" spans="1:15">
      <c r="A154" s="211"/>
      <c r="B154" s="847" t="str">
        <f t="shared" si="23"/>
        <v>Stakeholder Satisfaction Output</v>
      </c>
      <c r="C154" s="214"/>
      <c r="D154" s="214"/>
      <c r="E154" s="832" t="b">
        <f>OR((LEFT('RFPR cover'!$C$6,2)=Data!F154),'RFPR cover'!$C$5=Data!F154)</f>
        <v>0</v>
      </c>
      <c r="F154" s="845" t="str">
        <f>B182</f>
        <v>NGGT (TO)</v>
      </c>
      <c r="G154" s="210"/>
    </row>
    <row r="155" spans="1:15">
      <c r="A155" s="211"/>
      <c r="B155" s="847" t="str">
        <f t="shared" si="23"/>
        <v>SF6 Emissions</v>
      </c>
      <c r="C155" s="214"/>
      <c r="D155" s="214"/>
      <c r="E155" s="832" t="b">
        <f>OR((LEFT('RFPR cover'!$C$6,2)=Data!F155),'RFPR cover'!$C$5=Data!F155)</f>
        <v>0</v>
      </c>
      <c r="F155" s="833" t="str">
        <f>E182</f>
        <v>NGGT (SO)</v>
      </c>
      <c r="G155" s="210"/>
    </row>
    <row r="156" spans="1:15">
      <c r="A156" s="211"/>
      <c r="B156" s="847" t="str">
        <f t="shared" si="23"/>
        <v>Environmental Discretionary Reward</v>
      </c>
      <c r="C156" s="214"/>
      <c r="D156" s="214"/>
      <c r="E156" s="832" t="b">
        <f>OR((LEFT('RFPR cover'!$C$6,2)=Data!F156),'RFPR cover'!$C$5=Data!F156)</f>
        <v>0</v>
      </c>
      <c r="F156" s="833" t="str">
        <f>B192</f>
        <v>NGET (TO)</v>
      </c>
      <c r="G156" s="210"/>
    </row>
    <row r="157" spans="1:15" ht="25.5">
      <c r="A157" s="211"/>
      <c r="B157" s="848" t="str">
        <f t="shared" si="23"/>
        <v xml:space="preserve">Performance re offers of timely connection </v>
      </c>
      <c r="C157" s="214"/>
      <c r="D157" s="214"/>
      <c r="E157" s="832" t="b">
        <f>OR((LEFT('RFPR cover'!$C$6,2)=Data!F157),'RFPR cover'!$C$5=Data!F157)</f>
        <v>0</v>
      </c>
      <c r="F157" s="833" t="str">
        <f>E192</f>
        <v>NGET (SO)</v>
      </c>
      <c r="G157" s="210"/>
    </row>
    <row r="158" spans="1:15">
      <c r="A158" s="211"/>
      <c r="B158" s="848" t="str">
        <f t="shared" si="23"/>
        <v/>
      </c>
      <c r="C158" s="214"/>
      <c r="D158" s="214"/>
      <c r="E158" s="832" t="b">
        <f>OR((LEFT('RFPR cover'!$C$6,2)=Data!F158),'RFPR cover'!$C$5=Data!F158)</f>
        <v>1</v>
      </c>
      <c r="F158" s="833" t="str">
        <f>B202</f>
        <v>SPT</v>
      </c>
      <c r="G158" s="210"/>
    </row>
    <row r="159" spans="1:15">
      <c r="A159" s="211"/>
      <c r="B159" s="848" t="str">
        <f t="shared" si="23"/>
        <v/>
      </c>
      <c r="C159" s="214"/>
      <c r="D159" s="214"/>
      <c r="E159" s="834" t="b">
        <f>OR((LEFT('RFPR cover'!$C$6,2)=Data!F159),'RFPR cover'!$C$5=Data!F159)</f>
        <v>0</v>
      </c>
      <c r="F159" s="835" t="str">
        <f>E202</f>
        <v>SHET</v>
      </c>
      <c r="G159" s="308"/>
    </row>
    <row r="160" spans="1:15">
      <c r="A160" s="211"/>
      <c r="B160" s="214" t="str">
        <f t="shared" si="23"/>
        <v/>
      </c>
      <c r="C160" s="214"/>
      <c r="D160" s="214"/>
      <c r="E160" s="59"/>
      <c r="F160" s="833"/>
      <c r="G160" s="43"/>
    </row>
    <row r="161" spans="1:7">
      <c r="A161" s="211"/>
      <c r="B161" s="214"/>
      <c r="C161" s="214"/>
      <c r="D161" s="214"/>
      <c r="E161" s="59"/>
      <c r="F161" s="833"/>
      <c r="G161" s="43"/>
    </row>
    <row r="162" spans="1:7" ht="12" customHeight="1">
      <c r="A162" s="211"/>
      <c r="B162" s="964" t="s">
        <v>172</v>
      </c>
      <c r="C162" s="960"/>
      <c r="D162" s="214"/>
      <c r="E162" s="214"/>
    </row>
    <row r="163" spans="1:7">
      <c r="A163" s="211"/>
      <c r="B163" s="965" t="s">
        <v>393</v>
      </c>
      <c r="C163" s="966"/>
      <c r="D163" s="214"/>
      <c r="E163" s="214"/>
    </row>
    <row r="164" spans="1:7">
      <c r="A164" s="211"/>
      <c r="B164" s="965" t="s">
        <v>394</v>
      </c>
      <c r="C164" s="966"/>
      <c r="D164" s="214"/>
      <c r="E164" s="214"/>
    </row>
    <row r="165" spans="1:7">
      <c r="A165" s="211"/>
      <c r="B165" s="967" t="s">
        <v>395</v>
      </c>
      <c r="C165" s="968"/>
      <c r="D165" s="214"/>
      <c r="E165" s="214"/>
    </row>
    <row r="166" spans="1:7">
      <c r="A166" s="211"/>
      <c r="B166" s="967" t="s">
        <v>396</v>
      </c>
      <c r="C166" s="968"/>
      <c r="D166" s="214"/>
      <c r="E166" s="214"/>
    </row>
    <row r="167" spans="1:7">
      <c r="A167" s="211"/>
      <c r="B167" s="967" t="s">
        <v>397</v>
      </c>
      <c r="C167" s="968"/>
      <c r="D167" s="214"/>
      <c r="E167" s="214"/>
    </row>
    <row r="168" spans="1:7">
      <c r="A168" s="211"/>
      <c r="B168" s="967"/>
      <c r="C168" s="968"/>
      <c r="D168" s="214"/>
      <c r="E168" s="214"/>
    </row>
    <row r="169" spans="1:7">
      <c r="A169" s="211"/>
      <c r="B169" s="967"/>
      <c r="C169" s="968"/>
      <c r="D169" s="214"/>
      <c r="E169" s="214"/>
    </row>
    <row r="170" spans="1:7">
      <c r="A170" s="211"/>
      <c r="B170" s="214"/>
      <c r="C170" s="214"/>
      <c r="D170" s="214"/>
      <c r="E170" s="214"/>
    </row>
    <row r="171" spans="1:7">
      <c r="A171" s="211"/>
      <c r="B171" s="214"/>
      <c r="C171" s="214"/>
      <c r="D171" s="214"/>
      <c r="E171" s="214"/>
    </row>
    <row r="172" spans="1:7">
      <c r="A172" s="211"/>
      <c r="B172" s="964" t="s">
        <v>173</v>
      </c>
      <c r="C172" s="960"/>
      <c r="D172" s="214"/>
      <c r="E172" s="214"/>
    </row>
    <row r="173" spans="1:7" ht="12.75" customHeight="1">
      <c r="A173" s="211"/>
      <c r="B173" s="961" t="s">
        <v>223</v>
      </c>
      <c r="C173" s="963"/>
      <c r="D173" s="214"/>
      <c r="E173" s="214"/>
    </row>
    <row r="174" spans="1:7" ht="12.75" customHeight="1">
      <c r="A174" s="211"/>
      <c r="B174" s="955" t="s">
        <v>224</v>
      </c>
      <c r="C174" s="957"/>
      <c r="D174" s="214"/>
      <c r="E174" s="214"/>
    </row>
    <row r="175" spans="1:7" ht="12.75" customHeight="1">
      <c r="A175" s="211"/>
      <c r="B175" s="955" t="s">
        <v>225</v>
      </c>
      <c r="C175" s="957"/>
      <c r="D175" s="214"/>
      <c r="E175" s="214"/>
    </row>
    <row r="176" spans="1:7" ht="12.75" customHeight="1">
      <c r="A176" s="211"/>
      <c r="B176" s="955" t="s">
        <v>226</v>
      </c>
      <c r="C176" s="957"/>
      <c r="D176" s="214"/>
      <c r="E176" s="214"/>
    </row>
    <row r="177" spans="1:9" ht="12.75" customHeight="1">
      <c r="A177" s="211"/>
      <c r="B177" s="952" t="s">
        <v>309</v>
      </c>
      <c r="C177" s="954"/>
      <c r="D177" s="214"/>
      <c r="E177" s="214"/>
    </row>
    <row r="178" spans="1:9" ht="12.75" customHeight="1">
      <c r="A178" s="211"/>
      <c r="B178" s="952"/>
      <c r="C178" s="954"/>
      <c r="D178" s="214"/>
      <c r="E178" s="214"/>
    </row>
    <row r="179" spans="1:9" ht="12.75" customHeight="1">
      <c r="A179" s="211"/>
      <c r="B179" s="952"/>
      <c r="C179" s="954"/>
      <c r="D179" s="214"/>
      <c r="E179" s="214"/>
    </row>
    <row r="180" spans="1:9">
      <c r="A180" s="211"/>
      <c r="B180" s="214"/>
      <c r="C180" s="214"/>
      <c r="D180" s="214"/>
      <c r="E180" s="214"/>
    </row>
    <row r="181" spans="1:9">
      <c r="A181" s="211"/>
      <c r="B181" s="214"/>
      <c r="C181" s="214"/>
      <c r="D181" s="214"/>
      <c r="E181" s="214"/>
    </row>
    <row r="182" spans="1:9">
      <c r="A182" s="211"/>
      <c r="B182" s="958" t="str">
        <f>B95</f>
        <v>NGGT (TO)</v>
      </c>
      <c r="C182" s="990"/>
      <c r="D182" s="214"/>
      <c r="E182" s="958" t="str">
        <f>B96</f>
        <v>NGGT (SO)</v>
      </c>
      <c r="F182" s="959"/>
      <c r="G182" s="959"/>
      <c r="H182" s="959"/>
      <c r="I182" s="960"/>
    </row>
    <row r="183" spans="1:9">
      <c r="A183" s="211"/>
      <c r="B183" s="961" t="s">
        <v>219</v>
      </c>
      <c r="C183" s="963"/>
      <c r="D183" s="214"/>
      <c r="E183" s="955"/>
      <c r="F183" s="956"/>
      <c r="G183" s="956"/>
      <c r="H183" s="956"/>
      <c r="I183" s="957"/>
    </row>
    <row r="184" spans="1:9">
      <c r="A184" s="211"/>
      <c r="B184" s="955" t="s">
        <v>227</v>
      </c>
      <c r="C184" s="957"/>
      <c r="D184" s="214"/>
      <c r="E184" s="955"/>
      <c r="F184" s="956"/>
      <c r="G184" s="956"/>
      <c r="H184" s="956"/>
      <c r="I184" s="957"/>
    </row>
    <row r="185" spans="1:9">
      <c r="A185" s="211"/>
      <c r="B185" s="955"/>
      <c r="C185" s="957"/>
      <c r="D185" s="214"/>
      <c r="E185" s="955"/>
      <c r="F185" s="956"/>
      <c r="G185" s="956"/>
      <c r="H185" s="956"/>
      <c r="I185" s="957"/>
    </row>
    <row r="186" spans="1:9">
      <c r="A186" s="211"/>
      <c r="B186" s="955"/>
      <c r="C186" s="957"/>
      <c r="D186" s="214"/>
      <c r="E186" s="955"/>
      <c r="F186" s="956"/>
      <c r="G186" s="956"/>
      <c r="H186" s="956"/>
      <c r="I186" s="957"/>
    </row>
    <row r="187" spans="1:9">
      <c r="A187" s="211"/>
      <c r="B187" s="952"/>
      <c r="C187" s="954"/>
      <c r="D187" s="214"/>
      <c r="E187" s="952"/>
      <c r="F187" s="953"/>
      <c r="G187" s="953"/>
      <c r="H187" s="953"/>
      <c r="I187" s="954"/>
    </row>
    <row r="188" spans="1:9">
      <c r="A188" s="211"/>
      <c r="B188" s="952"/>
      <c r="C188" s="954"/>
      <c r="D188" s="214"/>
      <c r="E188" s="952"/>
      <c r="F188" s="953"/>
      <c r="G188" s="953"/>
      <c r="H188" s="953"/>
      <c r="I188" s="954"/>
    </row>
    <row r="189" spans="1:9">
      <c r="A189" s="211"/>
      <c r="B189" s="952"/>
      <c r="C189" s="954"/>
      <c r="D189" s="214"/>
      <c r="E189" s="952"/>
      <c r="F189" s="953"/>
      <c r="G189" s="953"/>
      <c r="H189" s="953"/>
      <c r="I189" s="954"/>
    </row>
    <row r="190" spans="1:9">
      <c r="A190" s="211"/>
      <c r="B190" s="214"/>
      <c r="C190" s="214"/>
      <c r="D190" s="214"/>
      <c r="E190" s="214"/>
    </row>
    <row r="191" spans="1:9">
      <c r="A191" s="211"/>
      <c r="B191" s="214"/>
      <c r="C191" s="214"/>
      <c r="D191" s="214"/>
      <c r="E191" s="214"/>
    </row>
    <row r="192" spans="1:9">
      <c r="A192" s="211"/>
      <c r="B192" s="958" t="str">
        <f>B97</f>
        <v>NGET (TO)</v>
      </c>
      <c r="C192" s="990"/>
      <c r="D192" s="214"/>
      <c r="E192" s="958" t="str">
        <f>B98</f>
        <v>NGET (SO)</v>
      </c>
      <c r="F192" s="959"/>
      <c r="G192" s="959"/>
      <c r="H192" s="959"/>
      <c r="I192" s="960"/>
    </row>
    <row r="193" spans="1:9" ht="12.75" customHeight="1">
      <c r="A193" s="211"/>
      <c r="B193" s="961" t="s">
        <v>218</v>
      </c>
      <c r="C193" s="963"/>
      <c r="D193" s="214"/>
      <c r="E193" s="955"/>
      <c r="F193" s="956"/>
      <c r="G193" s="956"/>
      <c r="H193" s="956"/>
      <c r="I193" s="957"/>
    </row>
    <row r="194" spans="1:9" ht="12.75" customHeight="1">
      <c r="A194" s="211"/>
      <c r="B194" s="955" t="s">
        <v>219</v>
      </c>
      <c r="C194" s="957"/>
      <c r="D194" s="214"/>
      <c r="E194" s="955"/>
      <c r="F194" s="956"/>
      <c r="G194" s="956"/>
      <c r="H194" s="956"/>
      <c r="I194" s="957"/>
    </row>
    <row r="195" spans="1:9" ht="12.75" customHeight="1">
      <c r="A195" s="211"/>
      <c r="B195" s="955" t="s">
        <v>220</v>
      </c>
      <c r="C195" s="957"/>
      <c r="D195" s="214"/>
      <c r="E195" s="955"/>
      <c r="F195" s="956"/>
      <c r="G195" s="956"/>
      <c r="H195" s="956"/>
      <c r="I195" s="957"/>
    </row>
    <row r="196" spans="1:9" ht="12.75" customHeight="1">
      <c r="A196" s="211"/>
      <c r="B196" s="955" t="s">
        <v>221</v>
      </c>
      <c r="C196" s="957"/>
      <c r="D196" s="214"/>
      <c r="E196" s="955"/>
      <c r="F196" s="956"/>
      <c r="G196" s="956"/>
      <c r="H196" s="956"/>
      <c r="I196" s="957"/>
    </row>
    <row r="197" spans="1:9" ht="12.75" customHeight="1">
      <c r="A197" s="211"/>
      <c r="B197" s="952"/>
      <c r="C197" s="954"/>
      <c r="D197" s="214"/>
      <c r="E197" s="952"/>
      <c r="F197" s="953"/>
      <c r="G197" s="953"/>
      <c r="H197" s="953"/>
      <c r="I197" s="954"/>
    </row>
    <row r="198" spans="1:9" ht="12.75" customHeight="1">
      <c r="A198" s="211"/>
      <c r="B198" s="952"/>
      <c r="C198" s="954"/>
      <c r="D198" s="214"/>
      <c r="E198" s="952"/>
      <c r="F198" s="953"/>
      <c r="G198" s="953"/>
      <c r="H198" s="953"/>
      <c r="I198" s="954"/>
    </row>
    <row r="199" spans="1:9" ht="12.75" customHeight="1">
      <c r="A199" s="211"/>
      <c r="B199" s="952"/>
      <c r="C199" s="954"/>
      <c r="D199" s="214"/>
      <c r="E199" s="952"/>
      <c r="F199" s="953"/>
      <c r="G199" s="953"/>
      <c r="H199" s="953"/>
      <c r="I199" s="954"/>
    </row>
    <row r="200" spans="1:9" s="32" customFormat="1" ht="12.75" customHeight="1">
      <c r="A200" s="822"/>
      <c r="B200" s="822"/>
      <c r="C200" s="822"/>
      <c r="D200" s="823"/>
      <c r="E200" s="824"/>
      <c r="F200" s="824"/>
      <c r="G200" s="824"/>
      <c r="H200" s="824"/>
      <c r="I200" s="824"/>
    </row>
    <row r="201" spans="1:9" s="32" customFormat="1" ht="12.75" customHeight="1">
      <c r="A201" s="822"/>
      <c r="B201" s="822"/>
      <c r="C201" s="822"/>
      <c r="D201" s="823"/>
      <c r="E201" s="824"/>
      <c r="F201" s="824"/>
      <c r="G201" s="824"/>
      <c r="H201" s="824"/>
      <c r="I201" s="824"/>
    </row>
    <row r="202" spans="1:9">
      <c r="A202" s="211"/>
      <c r="B202" s="958" t="str">
        <f>B145</f>
        <v>SPT</v>
      </c>
      <c r="C202" s="990"/>
      <c r="D202" s="214"/>
      <c r="E202" s="958" t="str">
        <f>B100</f>
        <v>SHET</v>
      </c>
      <c r="F202" s="959"/>
      <c r="G202" s="959"/>
      <c r="H202" s="959"/>
      <c r="I202" s="960"/>
    </row>
    <row r="203" spans="1:9" ht="12.75" customHeight="1">
      <c r="A203" s="211"/>
      <c r="B203" s="961" t="s">
        <v>218</v>
      </c>
      <c r="C203" s="963"/>
      <c r="D203" s="214"/>
      <c r="E203" s="961" t="s">
        <v>218</v>
      </c>
      <c r="F203" s="962"/>
      <c r="G203" s="962"/>
      <c r="H203" s="962"/>
      <c r="I203" s="963"/>
    </row>
    <row r="204" spans="1:9" ht="12.75" customHeight="1">
      <c r="A204" s="211"/>
      <c r="B204" s="955" t="s">
        <v>219</v>
      </c>
      <c r="C204" s="957"/>
      <c r="D204" s="214"/>
      <c r="E204" s="955" t="s">
        <v>219</v>
      </c>
      <c r="F204" s="956"/>
      <c r="G204" s="956"/>
      <c r="H204" s="956"/>
      <c r="I204" s="957"/>
    </row>
    <row r="205" spans="1:9" ht="12.75" customHeight="1">
      <c r="A205" s="211"/>
      <c r="B205" s="955" t="s">
        <v>220</v>
      </c>
      <c r="C205" s="957"/>
      <c r="D205" s="214"/>
      <c r="E205" s="955" t="s">
        <v>220</v>
      </c>
      <c r="F205" s="956"/>
      <c r="G205" s="956"/>
      <c r="H205" s="956"/>
      <c r="I205" s="957"/>
    </row>
    <row r="206" spans="1:9" ht="12.75" customHeight="1">
      <c r="A206" s="211"/>
      <c r="B206" s="955" t="s">
        <v>221</v>
      </c>
      <c r="C206" s="957"/>
      <c r="D206" s="214"/>
      <c r="E206" s="955" t="s">
        <v>221</v>
      </c>
      <c r="F206" s="956"/>
      <c r="G206" s="956"/>
      <c r="H206" s="956"/>
      <c r="I206" s="957"/>
    </row>
    <row r="207" spans="1:9" ht="12.75" customHeight="1">
      <c r="A207" s="211"/>
      <c r="B207" s="952" t="s">
        <v>222</v>
      </c>
      <c r="C207" s="954"/>
      <c r="D207" s="214"/>
      <c r="E207" s="952" t="s">
        <v>222</v>
      </c>
      <c r="F207" s="953"/>
      <c r="G207" s="953"/>
      <c r="H207" s="953"/>
      <c r="I207" s="954"/>
    </row>
    <row r="208" spans="1:9" ht="12.75" customHeight="1">
      <c r="A208" s="211"/>
      <c r="B208" s="952"/>
      <c r="C208" s="954"/>
      <c r="D208" s="214"/>
      <c r="E208" s="952"/>
      <c r="F208" s="953"/>
      <c r="G208" s="953"/>
      <c r="H208" s="953"/>
      <c r="I208" s="954"/>
    </row>
    <row r="209" spans="1:14" ht="12.75" customHeight="1">
      <c r="A209" s="211"/>
      <c r="B209" s="952"/>
      <c r="C209" s="954"/>
      <c r="D209" s="214"/>
      <c r="E209" s="952"/>
      <c r="F209" s="953"/>
      <c r="G209" s="953"/>
      <c r="H209" s="953"/>
      <c r="I209" s="954"/>
    </row>
    <row r="210" spans="1:14">
      <c r="A210" s="211"/>
      <c r="D210" s="214"/>
      <c r="E210" s="214"/>
    </row>
    <row r="211" spans="1:14">
      <c r="A211" s="211"/>
      <c r="D211" s="214"/>
      <c r="E211" s="214"/>
    </row>
    <row r="212" spans="1:14" ht="12.75" customHeight="1">
      <c r="A212" s="211"/>
      <c r="B212" s="989" t="s">
        <v>240</v>
      </c>
      <c r="C212" s="989"/>
      <c r="D212" s="989"/>
      <c r="E212" s="296"/>
      <c r="F212" s="223"/>
      <c r="G212" s="223"/>
      <c r="H212" s="223"/>
      <c r="I212" s="223"/>
      <c r="J212" s="223"/>
      <c r="K212" s="223"/>
      <c r="L212" s="223"/>
      <c r="M212" s="223"/>
      <c r="N212" s="223"/>
    </row>
    <row r="213" spans="1:14">
      <c r="A213" s="211"/>
      <c r="B213" s="214"/>
      <c r="C213" s="214"/>
      <c r="D213" s="214"/>
      <c r="E213" s="214"/>
    </row>
    <row r="214" spans="1:14" ht="25.5">
      <c r="A214" s="211"/>
      <c r="B214" s="216" t="s">
        <v>129</v>
      </c>
      <c r="C214" s="215" t="s">
        <v>208</v>
      </c>
      <c r="D214" s="214"/>
      <c r="E214" s="214"/>
    </row>
    <row r="215" spans="1:14" ht="25.5">
      <c r="A215" s="211"/>
      <c r="B215" s="217" t="s">
        <v>130</v>
      </c>
      <c r="C215" s="301" t="s">
        <v>209</v>
      </c>
      <c r="D215" s="214"/>
      <c r="E215" s="214"/>
    </row>
    <row r="216" spans="1:14">
      <c r="B216" s="320"/>
      <c r="C216" s="43"/>
      <c r="D216" s="43"/>
      <c r="E216" s="43"/>
      <c r="F216" s="43"/>
      <c r="G216" s="43"/>
      <c r="H216" s="43"/>
      <c r="I216" s="43"/>
      <c r="J216" s="43"/>
    </row>
    <row r="217" spans="1:14">
      <c r="B217" s="212"/>
      <c r="I217" s="66"/>
    </row>
    <row r="218" spans="1:14">
      <c r="B218" s="838" t="s">
        <v>400</v>
      </c>
      <c r="I218" s="66"/>
    </row>
    <row r="219" spans="1:14">
      <c r="B219" s="840" t="s">
        <v>290</v>
      </c>
    </row>
    <row r="220" spans="1:14">
      <c r="B220" s="841" t="s">
        <v>289</v>
      </c>
    </row>
    <row r="221" spans="1:14">
      <c r="B221" s="844" t="s">
        <v>287</v>
      </c>
    </row>
    <row r="222" spans="1:14">
      <c r="B222" s="842"/>
    </row>
    <row r="223" spans="1:14">
      <c r="B223" s="221"/>
    </row>
    <row r="224" spans="1:14">
      <c r="B224" s="839" t="s">
        <v>285</v>
      </c>
    </row>
    <row r="225" spans="2:2">
      <c r="B225" s="843" t="s">
        <v>401</v>
      </c>
    </row>
    <row r="226" spans="2:2">
      <c r="B226" s="841" t="s">
        <v>402</v>
      </c>
    </row>
    <row r="227" spans="2:2">
      <c r="B227" s="841" t="s">
        <v>296</v>
      </c>
    </row>
    <row r="228" spans="2:2">
      <c r="B228" s="841" t="s">
        <v>403</v>
      </c>
    </row>
    <row r="229" spans="2:2">
      <c r="B229" s="841" t="s">
        <v>404</v>
      </c>
    </row>
    <row r="230" spans="2:2">
      <c r="B230" s="841" t="s">
        <v>288</v>
      </c>
    </row>
    <row r="231" spans="2:2">
      <c r="B231" s="841" t="s">
        <v>405</v>
      </c>
    </row>
    <row r="232" spans="2:2">
      <c r="B232" s="841"/>
    </row>
    <row r="233" spans="2:2">
      <c r="B233" s="842"/>
    </row>
    <row r="234" spans="2:2">
      <c r="B234" s="221"/>
    </row>
    <row r="235" spans="2:2">
      <c r="B235" s="839" t="s">
        <v>295</v>
      </c>
    </row>
    <row r="236" spans="2:2">
      <c r="B236" s="843" t="s">
        <v>406</v>
      </c>
    </row>
    <row r="237" spans="2:2">
      <c r="B237" s="841" t="s">
        <v>407</v>
      </c>
    </row>
    <row r="238" spans="2:2">
      <c r="B238" s="841" t="s">
        <v>408</v>
      </c>
    </row>
    <row r="239" spans="2:2">
      <c r="B239" s="841" t="s">
        <v>409</v>
      </c>
    </row>
    <row r="240" spans="2:2">
      <c r="B240" s="841" t="s">
        <v>410</v>
      </c>
    </row>
    <row r="241" spans="2:2">
      <c r="B241" s="842"/>
    </row>
    <row r="242" spans="2:2">
      <c r="B242" s="221"/>
    </row>
    <row r="243" spans="2:2">
      <c r="B243" s="839" t="s">
        <v>411</v>
      </c>
    </row>
    <row r="244" spans="2:2">
      <c r="B244" s="843" t="s">
        <v>412</v>
      </c>
    </row>
    <row r="245" spans="2:2">
      <c r="B245" s="841" t="s">
        <v>413</v>
      </c>
    </row>
    <row r="246" spans="2:2">
      <c r="B246" s="842"/>
    </row>
    <row r="247" spans="2:2">
      <c r="B247" s="221"/>
    </row>
    <row r="248" spans="2:2">
      <c r="B248" s="839" t="s">
        <v>414</v>
      </c>
    </row>
    <row r="249" spans="2:2">
      <c r="B249" s="843" t="s">
        <v>455</v>
      </c>
    </row>
    <row r="250" spans="2:2">
      <c r="B250" s="841" t="s">
        <v>454</v>
      </c>
    </row>
    <row r="251" spans="2:2">
      <c r="B251" s="842" t="s">
        <v>270</v>
      </c>
    </row>
    <row r="252" spans="2:2">
      <c r="B252" s="221"/>
    </row>
    <row r="253" spans="2:2">
      <c r="B253" s="839" t="s">
        <v>286</v>
      </c>
    </row>
    <row r="254" spans="2:2">
      <c r="B254" s="843" t="s">
        <v>415</v>
      </c>
    </row>
    <row r="255" spans="2:2">
      <c r="B255" s="841" t="s">
        <v>459</v>
      </c>
    </row>
    <row r="256" spans="2:2">
      <c r="B256" s="841"/>
    </row>
    <row r="257" spans="2:2">
      <c r="B257" s="842"/>
    </row>
    <row r="258" spans="2:2">
      <c r="B258" s="221"/>
    </row>
    <row r="259" spans="2:2">
      <c r="B259" s="839" t="s">
        <v>291</v>
      </c>
    </row>
    <row r="260" spans="2:2">
      <c r="B260" s="843" t="s">
        <v>292</v>
      </c>
    </row>
    <row r="261" spans="2:2">
      <c r="B261" s="841" t="s">
        <v>297</v>
      </c>
    </row>
    <row r="262" spans="2:2">
      <c r="B262" s="841"/>
    </row>
    <row r="263" spans="2:2">
      <c r="B263" s="842"/>
    </row>
    <row r="264" spans="2:2">
      <c r="B264" s="221"/>
    </row>
    <row r="265" spans="2:2">
      <c r="B265" s="839" t="s">
        <v>416</v>
      </c>
    </row>
    <row r="266" spans="2:2">
      <c r="B266" s="843" t="s">
        <v>290</v>
      </c>
    </row>
    <row r="267" spans="2:2">
      <c r="B267" s="841" t="s">
        <v>289</v>
      </c>
    </row>
    <row r="268" spans="2:2">
      <c r="B268" s="842"/>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3" priority="21">
      <formula>AND(#REF!="Actuals",#REF!="Forecast")</formula>
    </cfRule>
  </conditionalFormatting>
  <conditionalFormatting sqref="C47">
    <cfRule type="expression" dxfId="62" priority="19">
      <formula>AND(#REF!="Actuals",#REF!="Forecast")</formula>
    </cfRule>
  </conditionalFormatting>
  <conditionalFormatting sqref="C50:J50">
    <cfRule type="expression" dxfId="61" priority="18">
      <formula>AND(#REF!="Actuals",#REF!="Forecast")</formula>
    </cfRule>
  </conditionalFormatting>
  <conditionalFormatting sqref="B14:D30">
    <cfRule type="cellIs" dxfId="60" priority="15" operator="equal">
      <formula>"Forecast"</formula>
    </cfRule>
  </conditionalFormatting>
  <conditionalFormatting sqref="B23:C30 E24:F27">
    <cfRule type="expression" dxfId="59" priority="112">
      <formula>$D13="Forecast"</formula>
    </cfRule>
  </conditionalFormatting>
  <conditionalFormatting sqref="K71">
    <cfRule type="expression" dxfId="58" priority="6">
      <formula>AND(#REF!="Actuals",#REF!="Forecast")</formula>
    </cfRule>
  </conditionalFormatting>
  <conditionalFormatting sqref="K72:T72">
    <cfRule type="expression" dxfId="57" priority="5">
      <formula>AND(#REF!="Actuals",#REF!="Forecast")</formula>
    </cfRule>
  </conditionalFormatting>
  <conditionalFormatting sqref="C62:L62">
    <cfRule type="expression" dxfId="56" priority="4">
      <formula>AND(#REF!="Actuals",#REF!="Forecast")</formula>
    </cfRule>
  </conditionalFormatting>
  <conditionalFormatting sqref="C118:L118">
    <cfRule type="expression" dxfId="55" priority="2">
      <formula>AND(#REF!="Actuals",#REF!="Forecast")</formula>
    </cfRule>
  </conditionalFormatting>
  <conditionalFormatting sqref="E23:F23">
    <cfRule type="expression" dxfId="54" priority="1">
      <formula>$D13="Forecast"</formula>
    </cfRule>
  </conditionalFormatting>
  <hyperlinks>
    <hyperlink ref="K39" r:id="rId1" display="August 2018 Publication"/>
    <hyperlink ref="K39:M39" r:id="rId2" display="May 2019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SPT</v>
      </c>
      <c r="B2" s="30"/>
      <c r="C2" s="30"/>
      <c r="D2" s="30"/>
      <c r="E2" s="30"/>
      <c r="F2" s="30"/>
      <c r="G2" s="30"/>
      <c r="H2" s="30"/>
      <c r="I2" s="34"/>
      <c r="J2" s="34"/>
      <c r="K2" s="34"/>
      <c r="L2" s="34"/>
      <c r="M2" s="34"/>
      <c r="N2" s="382"/>
    </row>
    <row r="3" spans="1:14" s="32" customFormat="1" ht="20.25">
      <c r="A3" s="30">
        <f>'RFPR cover'!C7</f>
        <v>2019</v>
      </c>
      <c r="B3" s="30"/>
      <c r="C3" s="30"/>
      <c r="D3" s="30"/>
      <c r="E3" s="30"/>
      <c r="F3" s="30"/>
      <c r="G3" s="30"/>
      <c r="H3" s="30"/>
      <c r="I3" s="34"/>
      <c r="J3" s="34"/>
      <c r="K3" s="34"/>
      <c r="L3" s="34"/>
      <c r="M3" s="34"/>
      <c r="N3" s="382"/>
    </row>
    <row r="4" spans="1:14">
      <c r="A4" s="24"/>
      <c r="B4" s="24"/>
      <c r="C4" s="24"/>
      <c r="D4" s="24"/>
      <c r="E4" s="24"/>
      <c r="F4" s="24"/>
      <c r="G4" s="24"/>
      <c r="H4" s="24"/>
      <c r="I4" s="571"/>
      <c r="J4" s="571"/>
      <c r="K4" s="571"/>
      <c r="L4" s="571"/>
      <c r="M4" s="571"/>
      <c r="N4" s="43"/>
    </row>
    <row r="5" spans="1:14">
      <c r="A5" s="24"/>
      <c r="B5" s="24"/>
      <c r="C5" s="24"/>
      <c r="D5" s="24"/>
      <c r="E5" s="24"/>
      <c r="F5" s="24"/>
      <c r="G5" s="24"/>
      <c r="H5" s="24"/>
      <c r="I5" s="571"/>
      <c r="J5" s="571"/>
      <c r="K5" s="571"/>
      <c r="L5" s="571"/>
      <c r="M5" s="571"/>
      <c r="N5" s="43"/>
    </row>
    <row r="6" spans="1:14">
      <c r="A6" s="24"/>
      <c r="B6" s="25" t="s">
        <v>85</v>
      </c>
      <c r="C6" s="24"/>
      <c r="D6" s="24"/>
      <c r="E6" s="24"/>
      <c r="F6" s="24"/>
      <c r="G6" s="24"/>
      <c r="H6" s="24"/>
      <c r="I6" s="571"/>
      <c r="J6" s="571"/>
      <c r="K6" s="571"/>
      <c r="L6" s="571"/>
      <c r="M6" s="571"/>
      <c r="N6" s="43"/>
    </row>
    <row r="7" spans="1:14">
      <c r="A7" s="24"/>
      <c r="B7" s="24"/>
      <c r="C7" s="24"/>
      <c r="D7" s="24"/>
      <c r="E7" s="24"/>
      <c r="F7" s="24"/>
      <c r="G7" s="24"/>
      <c r="H7" s="24"/>
      <c r="I7" s="571"/>
      <c r="J7" s="571"/>
      <c r="K7" s="571"/>
      <c r="L7" s="571"/>
      <c r="M7" s="571"/>
      <c r="N7" s="43"/>
    </row>
    <row r="8" spans="1:14">
      <c r="A8" s="24"/>
      <c r="B8" s="48" t="s">
        <v>86</v>
      </c>
      <c r="C8" s="48" t="s">
        <v>87</v>
      </c>
      <c r="D8" s="993" t="s">
        <v>88</v>
      </c>
      <c r="E8" s="994"/>
      <c r="F8" s="994"/>
      <c r="G8" s="994"/>
      <c r="H8" s="994"/>
      <c r="I8" s="571"/>
      <c r="J8" s="571"/>
      <c r="K8" s="571"/>
      <c r="L8" s="571"/>
      <c r="M8" s="571"/>
      <c r="N8" s="43"/>
    </row>
    <row r="9" spans="1:14">
      <c r="A9" s="24"/>
      <c r="B9" s="26" t="s">
        <v>89</v>
      </c>
      <c r="C9" s="47"/>
      <c r="D9" s="991"/>
      <c r="E9" s="992"/>
      <c r="F9" s="992"/>
      <c r="G9" s="992"/>
      <c r="H9" s="992"/>
      <c r="I9" s="24"/>
      <c r="J9" s="24"/>
      <c r="K9" s="24"/>
      <c r="L9" s="24"/>
      <c r="M9" s="24"/>
    </row>
    <row r="10" spans="1:14">
      <c r="A10" s="24"/>
      <c r="B10" s="26" t="s">
        <v>90</v>
      </c>
      <c r="C10" s="47"/>
      <c r="D10" s="991"/>
      <c r="E10" s="992"/>
      <c r="F10" s="992"/>
      <c r="G10" s="992"/>
      <c r="H10" s="992"/>
      <c r="I10" s="24"/>
      <c r="J10" s="24"/>
      <c r="K10" s="24"/>
      <c r="L10" s="24"/>
      <c r="M10" s="24"/>
    </row>
    <row r="11" spans="1:14">
      <c r="A11" s="24"/>
      <c r="B11" s="26" t="s">
        <v>91</v>
      </c>
      <c r="C11" s="47"/>
      <c r="D11" s="991"/>
      <c r="E11" s="992"/>
      <c r="F11" s="992"/>
      <c r="G11" s="992"/>
      <c r="H11" s="992"/>
      <c r="I11" s="24"/>
      <c r="J11" s="24"/>
      <c r="K11" s="24"/>
      <c r="L11" s="24"/>
      <c r="M11" s="24"/>
    </row>
    <row r="12" spans="1:14">
      <c r="A12" s="24"/>
      <c r="B12" s="26" t="s">
        <v>92</v>
      </c>
      <c r="C12" s="47"/>
      <c r="D12" s="991"/>
      <c r="E12" s="992"/>
      <c r="F12" s="992"/>
      <c r="G12" s="992"/>
      <c r="H12" s="992"/>
      <c r="I12" s="24"/>
      <c r="J12" s="24"/>
      <c r="K12" s="24"/>
      <c r="L12" s="24"/>
      <c r="M12" s="24"/>
    </row>
    <row r="13" spans="1:14">
      <c r="A13" s="24"/>
      <c r="B13" s="26" t="s">
        <v>93</v>
      </c>
      <c r="C13" s="47"/>
      <c r="D13" s="991"/>
      <c r="E13" s="992"/>
      <c r="F13" s="992"/>
      <c r="G13" s="992"/>
      <c r="H13" s="992"/>
      <c r="I13" s="24"/>
      <c r="J13" s="24"/>
      <c r="K13" s="24"/>
      <c r="L13" s="24"/>
      <c r="M13" s="24"/>
    </row>
    <row r="14" spans="1:14">
      <c r="A14" s="24"/>
      <c r="B14" s="26" t="s">
        <v>94</v>
      </c>
      <c r="C14" s="47"/>
      <c r="D14" s="991"/>
      <c r="E14" s="992"/>
      <c r="F14" s="992"/>
      <c r="G14" s="992"/>
      <c r="H14" s="992"/>
      <c r="I14" s="24"/>
      <c r="J14" s="24"/>
      <c r="K14" s="24"/>
      <c r="L14" s="24"/>
      <c r="M14" s="24"/>
    </row>
    <row r="15" spans="1:14">
      <c r="A15" s="24"/>
      <c r="B15" s="26" t="s">
        <v>95</v>
      </c>
      <c r="C15" s="47"/>
      <c r="D15" s="991"/>
      <c r="E15" s="992"/>
      <c r="F15" s="992"/>
      <c r="G15" s="992"/>
      <c r="H15" s="992"/>
      <c r="I15" s="24"/>
      <c r="J15" s="24"/>
      <c r="K15" s="24"/>
      <c r="L15" s="24"/>
      <c r="M15" s="24"/>
    </row>
    <row r="16" spans="1:14">
      <c r="A16" s="24"/>
      <c r="B16" s="26" t="s">
        <v>96</v>
      </c>
      <c r="C16" s="47"/>
      <c r="D16" s="991"/>
      <c r="E16" s="992"/>
      <c r="F16" s="992"/>
      <c r="G16" s="992"/>
      <c r="H16" s="992"/>
      <c r="I16" s="24"/>
      <c r="J16" s="24"/>
      <c r="K16" s="24"/>
      <c r="L16" s="24"/>
      <c r="M16" s="24"/>
    </row>
    <row r="17" spans="1:13">
      <c r="A17" s="24"/>
      <c r="B17" s="26" t="s">
        <v>97</v>
      </c>
      <c r="C17" s="47"/>
      <c r="D17" s="991"/>
      <c r="E17" s="992"/>
      <c r="F17" s="992"/>
      <c r="G17" s="992"/>
      <c r="H17" s="992"/>
      <c r="I17" s="24"/>
      <c r="J17" s="24"/>
      <c r="K17" s="24"/>
      <c r="L17" s="24"/>
      <c r="M17" s="24"/>
    </row>
    <row r="18" spans="1:13">
      <c r="A18" s="24"/>
      <c r="B18" s="26" t="s">
        <v>98</v>
      </c>
      <c r="C18" s="47"/>
      <c r="D18" s="991"/>
      <c r="E18" s="992"/>
      <c r="F18" s="992"/>
      <c r="G18" s="992"/>
      <c r="H18" s="992"/>
      <c r="I18" s="24"/>
      <c r="J18" s="24"/>
      <c r="K18" s="24"/>
      <c r="L18" s="24"/>
      <c r="M18" s="24"/>
    </row>
    <row r="19" spans="1:13">
      <c r="A19" s="24"/>
      <c r="B19" s="24"/>
      <c r="C19" s="24"/>
      <c r="D19" s="24"/>
      <c r="E19" s="24"/>
      <c r="F19" s="24"/>
      <c r="G19" s="24"/>
      <c r="H19" s="24"/>
      <c r="I19" s="24"/>
      <c r="J19" s="24"/>
      <c r="K19" s="24"/>
      <c r="L19" s="24"/>
      <c r="M19" s="24"/>
    </row>
    <row r="20" spans="1:13">
      <c r="A20" s="24"/>
      <c r="B20" s="221"/>
      <c r="C20" s="24"/>
      <c r="D20" s="24"/>
      <c r="E20" s="24"/>
      <c r="F20" s="24"/>
      <c r="G20" s="24"/>
      <c r="H20" s="24"/>
      <c r="I20" s="24"/>
      <c r="J20" s="24"/>
      <c r="K20" s="24"/>
      <c r="L20" s="24"/>
    </row>
    <row r="21" spans="1:13">
      <c r="A21" s="24"/>
      <c r="B21" s="297" t="s">
        <v>263</v>
      </c>
      <c r="C21" s="24"/>
      <c r="D21" s="24"/>
      <c r="E21" s="24"/>
      <c r="F21" s="24"/>
      <c r="G21" s="24"/>
      <c r="H21" s="24"/>
      <c r="I21" s="24"/>
      <c r="J21" s="24"/>
      <c r="K21" s="24"/>
      <c r="L21" s="24"/>
    </row>
    <row r="22" spans="1:13">
      <c r="A22" s="24"/>
      <c r="B22" s="297" t="s">
        <v>119</v>
      </c>
      <c r="C22" s="24"/>
      <c r="D22" s="24"/>
      <c r="E22" s="24"/>
      <c r="F22" s="24"/>
      <c r="G22" s="24"/>
      <c r="H22" s="24"/>
      <c r="I22" s="24"/>
      <c r="J22" s="24"/>
      <c r="K22" s="24"/>
      <c r="L22" s="24"/>
    </row>
    <row r="23" spans="1:13">
      <c r="A23" s="24"/>
      <c r="B23" s="297" t="s">
        <v>264</v>
      </c>
      <c r="C23" s="24"/>
      <c r="D23" s="24"/>
      <c r="E23" s="24"/>
      <c r="F23" s="24"/>
      <c r="G23" s="24"/>
      <c r="H23" s="24"/>
      <c r="I23" s="24"/>
      <c r="J23" s="24"/>
      <c r="K23" s="24"/>
      <c r="L23" s="24"/>
    </row>
    <row r="24" spans="1:13">
      <c r="B24" s="297" t="s">
        <v>99</v>
      </c>
    </row>
    <row r="25" spans="1:13">
      <c r="B25" s="297" t="s">
        <v>262</v>
      </c>
    </row>
    <row r="26" spans="1:13">
      <c r="B26" s="297" t="s">
        <v>100</v>
      </c>
    </row>
    <row r="27" spans="1:13">
      <c r="B27" s="297" t="s">
        <v>265</v>
      </c>
    </row>
    <row r="28" spans="1:13">
      <c r="B28" s="297" t="s">
        <v>281</v>
      </c>
    </row>
    <row r="29" spans="1:13">
      <c r="B29" s="297" t="s">
        <v>237</v>
      </c>
    </row>
    <row r="30" spans="1:13">
      <c r="B30" s="297" t="s">
        <v>284</v>
      </c>
    </row>
    <row r="31" spans="1:13">
      <c r="B31" s="297" t="s">
        <v>101</v>
      </c>
    </row>
    <row r="32" spans="1:13">
      <c r="B32" s="297" t="s">
        <v>261</v>
      </c>
    </row>
    <row r="33" spans="2:2">
      <c r="B33" s="297" t="s">
        <v>266</v>
      </c>
    </row>
    <row r="34" spans="2:2">
      <c r="B34" s="297" t="s">
        <v>259</v>
      </c>
    </row>
    <row r="35" spans="2:2">
      <c r="B35" s="297"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SPT</v>
      </c>
      <c r="B2" s="30"/>
      <c r="C2" s="30"/>
      <c r="D2" s="30"/>
    </row>
    <row r="3" spans="1:4" s="32" customFormat="1" ht="20.25">
      <c r="A3" s="30">
        <f>'RFPR cover'!C7</f>
        <v>2019</v>
      </c>
      <c r="B3" s="30"/>
      <c r="C3" s="30"/>
      <c r="D3" s="30"/>
    </row>
    <row r="4" spans="1:4" s="32" customFormat="1" ht="20.25">
      <c r="A4" s="871"/>
      <c r="B4" s="871"/>
      <c r="C4" s="871"/>
      <c r="D4" s="871"/>
    </row>
    <row r="5" spans="1:4" ht="30">
      <c r="A5" s="868" t="s">
        <v>438</v>
      </c>
      <c r="B5" s="869" t="s">
        <v>439</v>
      </c>
      <c r="C5" s="870" t="s">
        <v>440</v>
      </c>
    </row>
    <row r="6" spans="1:4">
      <c r="A6" s="350"/>
      <c r="B6" s="879"/>
      <c r="C6" s="886"/>
    </row>
    <row r="7" spans="1:4">
      <c r="A7" s="350"/>
      <c r="B7" s="879"/>
      <c r="C7" s="886"/>
    </row>
    <row r="8" spans="1:4">
      <c r="A8" s="350"/>
      <c r="B8" s="877"/>
      <c r="C8" s="885"/>
    </row>
    <row r="9" spans="1:4">
      <c r="A9" s="350"/>
      <c r="B9" s="877"/>
      <c r="C9" s="885"/>
    </row>
    <row r="10" spans="1:4">
      <c r="A10" s="351"/>
      <c r="B10" s="877"/>
      <c r="C10" s="885"/>
    </row>
    <row r="11" spans="1:4">
      <c r="A11" s="351"/>
      <c r="B11" s="877"/>
      <c r="C11" s="885"/>
    </row>
    <row r="12" spans="1:4">
      <c r="A12" s="351"/>
      <c r="B12" s="877"/>
      <c r="C12" s="885"/>
    </row>
    <row r="13" spans="1:4">
      <c r="A13" s="351"/>
      <c r="B13" s="877"/>
      <c r="C13" s="885"/>
    </row>
    <row r="14" spans="1:4">
      <c r="A14" s="351"/>
      <c r="B14" s="877"/>
      <c r="C14" s="885"/>
    </row>
    <row r="15" spans="1:4">
      <c r="A15" s="351"/>
      <c r="B15" s="877"/>
      <c r="C15" s="885"/>
    </row>
    <row r="16" spans="1:4">
      <c r="A16" s="351"/>
      <c r="B16" s="877"/>
      <c r="C16" s="885"/>
    </row>
    <row r="17" spans="1:3">
      <c r="A17" s="351"/>
      <c r="B17" s="877"/>
      <c r="C17" s="298"/>
    </row>
    <row r="18" spans="1:3">
      <c r="A18" s="351"/>
      <c r="B18" s="877"/>
      <c r="C18" s="298"/>
    </row>
    <row r="19" spans="1:3">
      <c r="A19" s="351"/>
      <c r="B19" s="877"/>
      <c r="C19" s="298"/>
    </row>
    <row r="20" spans="1:3">
      <c r="A20" s="351"/>
      <c r="B20" s="877"/>
      <c r="C20" s="298"/>
    </row>
    <row r="21" spans="1:3">
      <c r="A21" s="351"/>
      <c r="B21" s="877"/>
      <c r="C21" s="298"/>
    </row>
    <row r="22" spans="1:3">
      <c r="A22" s="351"/>
      <c r="B22" s="877"/>
      <c r="C22" s="298"/>
    </row>
    <row r="23" spans="1:3">
      <c r="A23" s="351"/>
      <c r="B23" s="877"/>
      <c r="C23" s="298"/>
    </row>
    <row r="24" spans="1:3">
      <c r="A24" s="351"/>
      <c r="B24" s="877"/>
      <c r="C24" s="298"/>
    </row>
    <row r="25" spans="1:3">
      <c r="A25" s="351"/>
      <c r="B25" s="877"/>
      <c r="C25" s="298"/>
    </row>
    <row r="26" spans="1:3">
      <c r="A26" s="351"/>
      <c r="B26" s="877"/>
      <c r="C26" s="298"/>
    </row>
    <row r="27" spans="1:3">
      <c r="A27" s="351"/>
      <c r="B27" s="877"/>
      <c r="C27" s="298"/>
    </row>
    <row r="28" spans="1:3">
      <c r="A28" s="351"/>
      <c r="B28" s="877"/>
      <c r="C28" s="298"/>
    </row>
    <row r="29" spans="1:3">
      <c r="A29" s="351"/>
      <c r="B29" s="877"/>
      <c r="C29" s="298"/>
    </row>
    <row r="30" spans="1:3">
      <c r="A30" s="351"/>
      <c r="B30" s="877"/>
      <c r="C30" s="298"/>
    </row>
    <row r="31" spans="1:3">
      <c r="A31" s="351"/>
      <c r="B31" s="877"/>
      <c r="C31" s="899"/>
    </row>
    <row r="32" spans="1:3">
      <c r="A32" s="351"/>
      <c r="B32" s="877"/>
      <c r="C32" s="298"/>
    </row>
    <row r="33" spans="1:3">
      <c r="A33" s="351"/>
      <c r="B33" s="877"/>
      <c r="C33" s="298"/>
    </row>
    <row r="34" spans="1:3">
      <c r="A34" s="352"/>
      <c r="B34" s="877"/>
      <c r="C34" s="298"/>
    </row>
    <row r="35" spans="1:3">
      <c r="A35" s="352"/>
      <c r="B35" s="902"/>
      <c r="C35" s="298"/>
    </row>
    <row r="36" spans="1:3">
      <c r="A36" s="352"/>
      <c r="B36" s="902"/>
      <c r="C36" s="298"/>
    </row>
    <row r="37" spans="1:3">
      <c r="A37" s="352"/>
      <c r="B37" s="902"/>
      <c r="C37" s="298"/>
    </row>
    <row r="38" spans="1:3">
      <c r="A38" s="352"/>
      <c r="B38" s="902"/>
      <c r="C38" s="298"/>
    </row>
    <row r="39" spans="1:3">
      <c r="A39" s="351"/>
      <c r="B39" s="902"/>
      <c r="C39" s="298"/>
    </row>
    <row r="40" spans="1:3">
      <c r="A40" s="352"/>
      <c r="B40" s="902"/>
      <c r="C40" s="298"/>
    </row>
    <row r="41" spans="1:3">
      <c r="A41" s="352"/>
      <c r="B41" s="902"/>
      <c r="C41" s="298"/>
    </row>
    <row r="42" spans="1:3">
      <c r="A42" s="352"/>
      <c r="B42" s="902"/>
      <c r="C42" s="298"/>
    </row>
    <row r="43" spans="1:3">
      <c r="A43" s="352"/>
      <c r="B43" s="877"/>
      <c r="C43" s="298"/>
    </row>
    <row r="44" spans="1:3">
      <c r="A44" s="352"/>
      <c r="B44" s="877"/>
      <c r="C44" s="298"/>
    </row>
    <row r="45" spans="1:3">
      <c r="A45" s="352"/>
      <c r="B45" s="877"/>
      <c r="C45" s="298"/>
    </row>
    <row r="46" spans="1:3">
      <c r="A46" s="352"/>
      <c r="B46" s="877"/>
      <c r="C46" s="298"/>
    </row>
    <row r="47" spans="1:3">
      <c r="A47" s="352"/>
      <c r="B47" s="877"/>
      <c r="C47" s="298"/>
    </row>
    <row r="48" spans="1:3">
      <c r="A48" s="352"/>
      <c r="B48" s="877"/>
      <c r="C48" s="298"/>
    </row>
    <row r="49" spans="1:3">
      <c r="A49" s="352"/>
      <c r="B49" s="877"/>
      <c r="C49" s="298"/>
    </row>
    <row r="50" spans="1:3">
      <c r="A50" s="352"/>
      <c r="B50" s="877"/>
      <c r="C50" s="298"/>
    </row>
    <row r="51" spans="1:3">
      <c r="A51" s="352"/>
      <c r="B51" s="877"/>
      <c r="C51" s="298"/>
    </row>
    <row r="52" spans="1:3">
      <c r="A52" s="352"/>
      <c r="B52" s="877"/>
      <c r="C52" s="298"/>
    </row>
    <row r="53" spans="1:3">
      <c r="A53" s="352"/>
      <c r="B53" s="909"/>
      <c r="C53" s="910"/>
    </row>
    <row r="54" spans="1:3">
      <c r="A54" s="352"/>
      <c r="B54" s="877"/>
      <c r="C54" s="298"/>
    </row>
    <row r="55" spans="1:3">
      <c r="A55" s="352"/>
      <c r="B55" s="877"/>
      <c r="C55" s="298"/>
    </row>
    <row r="56" spans="1:3">
      <c r="A56" s="352"/>
      <c r="B56" s="877"/>
      <c r="C56" s="298"/>
    </row>
    <row r="57" spans="1:3">
      <c r="A57" s="352"/>
      <c r="B57" s="877"/>
      <c r="C57" s="298"/>
    </row>
    <row r="58" spans="1:3">
      <c r="A58" s="352"/>
      <c r="B58" s="877"/>
      <c r="C58" s="899"/>
    </row>
    <row r="59" spans="1:3">
      <c r="A59" s="353"/>
      <c r="B59" s="878"/>
      <c r="C59" s="299"/>
    </row>
    <row r="60" spans="1:3">
      <c r="A60" s="353"/>
      <c r="B60" s="878"/>
      <c r="C60" s="299"/>
    </row>
    <row r="61" spans="1:3">
      <c r="A61" s="353"/>
      <c r="B61" s="878"/>
      <c r="C61" s="299"/>
    </row>
    <row r="62" spans="1:3">
      <c r="A62" s="353"/>
      <c r="B62" s="878"/>
      <c r="C62" s="299"/>
    </row>
    <row r="63" spans="1:3">
      <c r="A63" s="353"/>
      <c r="B63" s="878"/>
      <c r="C63" s="299"/>
    </row>
    <row r="64" spans="1:3">
      <c r="A64" s="353"/>
      <c r="B64" s="878"/>
      <c r="C64" s="299"/>
    </row>
    <row r="65" spans="1:3">
      <c r="A65" s="353"/>
      <c r="B65" s="878"/>
      <c r="C65" s="299"/>
    </row>
    <row r="66" spans="1:3">
      <c r="A66" s="353"/>
      <c r="B66" s="878"/>
      <c r="C66" s="299"/>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O66"/>
  <sheetViews>
    <sheetView showGridLines="0" tabSelected="1" zoomScale="80" zoomScaleNormal="80" workbookViewId="0">
      <pane ySplit="6" topLeftCell="A7" activePane="bottomLeft" state="frozen"/>
      <selection activeCell="B75" sqref="A1:XFD1048576"/>
      <selection pane="bottomLeft" activeCell="F27" sqref="F27"/>
    </sheetView>
  </sheetViews>
  <sheetFormatPr defaultRowHeight="12.75"/>
  <cols>
    <col min="1" max="1" width="8.375" customWidth="1"/>
    <col min="2" max="2" width="63.375" style="204" customWidth="1"/>
    <col min="3" max="3" width="13.375" style="43" customWidth="1"/>
    <col min="4" max="11" width="9.125" customWidth="1"/>
    <col min="12" max="12" width="3.625" customWidth="1"/>
    <col min="13" max="14" width="13.75" customWidth="1"/>
    <col min="15" max="15" width="5.125" customWidth="1"/>
  </cols>
  <sheetData>
    <row r="1" spans="1:15" s="32" customFormat="1" ht="20.25">
      <c r="A1" s="379" t="s">
        <v>239</v>
      </c>
      <c r="B1" s="383"/>
      <c r="C1" s="265"/>
      <c r="D1" s="265"/>
      <c r="E1" s="265"/>
      <c r="F1" s="265"/>
      <c r="G1" s="265"/>
      <c r="H1" s="265"/>
      <c r="I1" s="266"/>
      <c r="J1" s="266"/>
      <c r="K1" s="267"/>
      <c r="L1" s="267"/>
      <c r="M1" s="267"/>
      <c r="N1" s="267"/>
      <c r="O1" s="384" t="s">
        <v>84</v>
      </c>
    </row>
    <row r="2" spans="1:15" s="32" customFormat="1" ht="20.25">
      <c r="A2" s="124" t="str">
        <f>'RFPR cover'!C5</f>
        <v>SPT</v>
      </c>
      <c r="B2" s="203"/>
      <c r="C2" s="30"/>
      <c r="D2" s="30"/>
      <c r="E2" s="30"/>
      <c r="F2" s="30"/>
      <c r="G2" s="30"/>
      <c r="H2" s="30"/>
      <c r="I2" s="27"/>
      <c r="J2" s="27"/>
      <c r="K2" s="27"/>
      <c r="L2" s="27"/>
      <c r="M2" s="27"/>
      <c r="N2" s="27"/>
      <c r="O2" s="125"/>
    </row>
    <row r="3" spans="1:15" s="32" customFormat="1" ht="23.25">
      <c r="A3" s="269">
        <f>'RFPR cover'!C7</f>
        <v>2019</v>
      </c>
      <c r="B3" s="936" t="str">
        <f>IF('RFPR cover'!C5=Data!B98,"Not required to be completed for System Operator",(IF('RFPR cover'!C5=Data!B96,"Not required to be completed for Syestem Operator","")))</f>
        <v/>
      </c>
      <c r="C3" s="270"/>
      <c r="D3" s="270"/>
      <c r="E3" s="270"/>
      <c r="F3" s="270"/>
      <c r="G3" s="270"/>
      <c r="H3" s="270"/>
      <c r="I3" s="263"/>
      <c r="J3" s="263"/>
      <c r="K3" s="263"/>
      <c r="L3" s="263"/>
      <c r="M3" s="263"/>
      <c r="N3" s="263"/>
      <c r="O3" s="271"/>
    </row>
    <row r="4" spans="1:15" ht="12.75" customHeight="1"/>
    <row r="5" spans="1:15">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c r="L5" s="2"/>
      <c r="M5" s="2"/>
      <c r="N5" s="2"/>
      <c r="O5" s="2"/>
    </row>
    <row r="6" spans="1:15" ht="31.5" customHeight="1">
      <c r="C6" s="179"/>
      <c r="D6" s="117">
        <f>'RFPR cover'!$C$13</f>
        <v>2014</v>
      </c>
      <c r="E6" s="118">
        <f>D6+1</f>
        <v>2015</v>
      </c>
      <c r="F6" s="118">
        <f t="shared" ref="F6:K6" si="0">E6+1</f>
        <v>2016</v>
      </c>
      <c r="G6" s="118">
        <f t="shared" si="0"/>
        <v>2017</v>
      </c>
      <c r="H6" s="118">
        <f t="shared" si="0"/>
        <v>2018</v>
      </c>
      <c r="I6" s="118">
        <f t="shared" si="0"/>
        <v>2019</v>
      </c>
      <c r="J6" s="118">
        <f t="shared" si="0"/>
        <v>2020</v>
      </c>
      <c r="K6" s="202">
        <f t="shared" si="0"/>
        <v>2021</v>
      </c>
      <c r="L6" s="50"/>
      <c r="M6" s="101" t="str">
        <f>"Cumulative to "&amp;'RFPR cover'!$C$7</f>
        <v>Cumulative to 2019</v>
      </c>
      <c r="N6" s="201" t="s">
        <v>109</v>
      </c>
    </row>
    <row r="7" spans="1:15">
      <c r="C7" s="179"/>
      <c r="D7" s="179"/>
      <c r="E7" s="179"/>
      <c r="F7" s="179"/>
      <c r="G7" s="179"/>
      <c r="H7" s="179"/>
      <c r="I7" s="179"/>
      <c r="J7" s="179"/>
      <c r="K7" s="179"/>
      <c r="L7" s="179"/>
      <c r="M7" s="179"/>
      <c r="N7" s="179"/>
      <c r="O7" s="179"/>
    </row>
    <row r="8" spans="1:15">
      <c r="B8" s="554" t="s">
        <v>108</v>
      </c>
      <c r="C8" s="446"/>
      <c r="D8" s="446"/>
      <c r="E8" s="446"/>
      <c r="F8" s="446"/>
      <c r="G8" s="446"/>
      <c r="H8" s="446"/>
      <c r="I8" s="446"/>
      <c r="J8" s="446"/>
      <c r="K8" s="446"/>
      <c r="L8" s="555"/>
      <c r="M8" s="223"/>
      <c r="N8" s="223"/>
      <c r="O8" s="223"/>
    </row>
    <row r="9" spans="1:15">
      <c r="B9" s="205"/>
      <c r="D9" s="43"/>
      <c r="E9" s="43"/>
      <c r="F9" s="43"/>
      <c r="G9" s="43"/>
      <c r="H9" s="43"/>
      <c r="I9" s="43"/>
      <c r="J9" s="43"/>
      <c r="K9" s="43"/>
      <c r="L9" s="50"/>
    </row>
    <row r="10" spans="1:15">
      <c r="B10" s="258" t="s">
        <v>215</v>
      </c>
      <c r="C10" s="260" t="s">
        <v>7</v>
      </c>
      <c r="D10" s="530">
        <f t="shared" ref="D10:K19" si="1">D48/D$65</f>
        <v>7.0000000000000007E-2</v>
      </c>
      <c r="E10" s="532">
        <f t="shared" si="1"/>
        <v>7.0000000000000007E-2</v>
      </c>
      <c r="F10" s="532">
        <f t="shared" si="1"/>
        <v>7.0000000000000007E-2</v>
      </c>
      <c r="G10" s="532">
        <f t="shared" si="1"/>
        <v>7.0000000000000007E-2</v>
      </c>
      <c r="H10" s="532">
        <f t="shared" si="1"/>
        <v>7.0000000000000007E-2</v>
      </c>
      <c r="I10" s="532">
        <f t="shared" si="1"/>
        <v>7.0000000000000007E-2</v>
      </c>
      <c r="J10" s="532">
        <f t="shared" si="1"/>
        <v>7.0000000000000007E-2</v>
      </c>
      <c r="K10" s="531">
        <f t="shared" si="1"/>
        <v>7.0000000000000007E-2</v>
      </c>
      <c r="L10" s="180"/>
      <c r="M10" s="530">
        <f>AVERAGE(D48:INDEX(D48:K48,0,MATCH('RFPR cover'!$C$7,$D$6:$K$6,0)))/AVERAGE($D$65:INDEX($D$65:$K$65,0,MATCH('RFPR cover'!$C$7,$D$6:$K$6,0)))</f>
        <v>6.9999999999999993E-2</v>
      </c>
      <c r="N10" s="531">
        <f>AVERAGE(D48:K48)/AVERAGE($D$65:$K$65)</f>
        <v>6.9999999999999993E-2</v>
      </c>
    </row>
    <row r="11" spans="1:15">
      <c r="B11" s="258" t="str">
        <f t="shared" ref="B11:B18" si="2">B49</f>
        <v>Totex outperformance</v>
      </c>
      <c r="C11" s="260" t="s">
        <v>7</v>
      </c>
      <c r="D11" s="182">
        <f t="shared" si="1"/>
        <v>2.318593435785762E-2</v>
      </c>
      <c r="E11" s="183">
        <f t="shared" si="1"/>
        <v>2.6698067016374338E-2</v>
      </c>
      <c r="F11" s="183">
        <f t="shared" si="1"/>
        <v>5.294630115085225E-3</v>
      </c>
      <c r="G11" s="183">
        <f t="shared" si="1"/>
        <v>1.1855082809768326E-3</v>
      </c>
      <c r="H11" s="183">
        <f t="shared" si="1"/>
        <v>-3.3130419869012261E-4</v>
      </c>
      <c r="I11" s="183">
        <f t="shared" si="1"/>
        <v>5.2005761520359169E-5</v>
      </c>
      <c r="J11" s="183">
        <f t="shared" si="1"/>
        <v>5.0749240265085427E-5</v>
      </c>
      <c r="K11" s="184">
        <f t="shared" si="1"/>
        <v>-2.5411720028071577E-3</v>
      </c>
      <c r="L11" s="180"/>
      <c r="M11" s="530">
        <f>AVERAGE(D49:INDEX(D49:K49,0,MATCH('RFPR cover'!$C$7,$D$6:$K$6,0)))/AVERAGE($D$65:INDEX($D$65:$K$65,0,MATCH('RFPR cover'!$C$7,$D$6:$K$6,0)))</f>
        <v>7.6857460758571689E-3</v>
      </c>
      <c r="N11" s="531">
        <f t="shared" ref="N11:N19" si="3">AVERAGE(D49:K49)/AVERAGE($D$65:$K$65)</f>
        <v>5.048565853257689E-3</v>
      </c>
    </row>
    <row r="12" spans="1:15">
      <c r="B12" s="258" t="str">
        <f t="shared" si="2"/>
        <v>IQI Reward</v>
      </c>
      <c r="C12" s="260" t="s">
        <v>7</v>
      </c>
      <c r="D12" s="182">
        <f t="shared" si="1"/>
        <v>1.6896785859501686E-2</v>
      </c>
      <c r="E12" s="183">
        <f t="shared" si="1"/>
        <v>1.9347087501415318E-3</v>
      </c>
      <c r="F12" s="183">
        <f t="shared" si="1"/>
        <v>2.8805843305820485E-2</v>
      </c>
      <c r="G12" s="183">
        <f t="shared" si="1"/>
        <v>8.0313260720583802E-3</v>
      </c>
      <c r="H12" s="183">
        <f t="shared" si="1"/>
        <v>7.3251625011097792E-3</v>
      </c>
      <c r="I12" s="183">
        <f t="shared" si="1"/>
        <v>7.1631734958621587E-3</v>
      </c>
      <c r="J12" s="183">
        <f t="shared" si="1"/>
        <v>7.1072056425419399E-3</v>
      </c>
      <c r="K12" s="184">
        <f t="shared" si="1"/>
        <v>5.277925127056114E-3</v>
      </c>
      <c r="L12" s="180"/>
      <c r="M12" s="530">
        <f>AVERAGE(D50:INDEX(D50:K50,0,MATCH('RFPR cover'!$C$7,$D$6:$K$6,0)))/AVERAGE($D$65:INDEX($D$65:$K$65,0,MATCH('RFPR cover'!$C$7,$D$6:$K$6,0)))</f>
        <v>1.1268390529859645E-2</v>
      </c>
      <c r="N12" s="531">
        <f t="shared" si="3"/>
        <v>9.7688730056587816E-3</v>
      </c>
    </row>
    <row r="13" spans="1:15">
      <c r="B13" s="258" t="str">
        <f t="shared" si="2"/>
        <v>Network Reliability Incentive</v>
      </c>
      <c r="C13" s="260" t="s">
        <v>7</v>
      </c>
      <c r="D13" s="182">
        <f t="shared" si="1"/>
        <v>3.0452424167108426E-3</v>
      </c>
      <c r="E13" s="183">
        <f t="shared" si="1"/>
        <v>3.2867733876639806E-3</v>
      </c>
      <c r="F13" s="183">
        <f t="shared" si="1"/>
        <v>2.7748798890772858E-3</v>
      </c>
      <c r="G13" s="183">
        <f t="shared" si="1"/>
        <v>2.4766487866845158E-3</v>
      </c>
      <c r="H13" s="183">
        <f t="shared" si="1"/>
        <v>2.3265779903958775E-3</v>
      </c>
      <c r="I13" s="183">
        <f t="shared" si="1"/>
        <v>1.9376253831960726E-3</v>
      </c>
      <c r="J13" s="183">
        <f t="shared" si="1"/>
        <v>1.0288458037928923E-3</v>
      </c>
      <c r="K13" s="184">
        <f t="shared" si="1"/>
        <v>1.0017219455494284E-3</v>
      </c>
      <c r="L13" s="180"/>
      <c r="M13" s="530">
        <f>AVERAGE(D51:INDEX(D51:K51,0,MATCH('RFPR cover'!$C$7,$D$6:$K$6,0)))/AVERAGE($D$65:INDEX($D$65:$K$65,0,MATCH('RFPR cover'!$C$7,$D$6:$K$6,0)))</f>
        <v>2.5721095342312161E-3</v>
      </c>
      <c r="N13" s="531">
        <f t="shared" si="3"/>
        <v>2.1132377942167818E-3</v>
      </c>
    </row>
    <row r="14" spans="1:15">
      <c r="B14" s="258" t="str">
        <f t="shared" si="2"/>
        <v>Stakeholder Satisfaction Output</v>
      </c>
      <c r="C14" s="260" t="s">
        <v>7</v>
      </c>
      <c r="D14" s="182">
        <f t="shared" si="1"/>
        <v>5.5278614515987977E-4</v>
      </c>
      <c r="E14" s="183">
        <f t="shared" si="1"/>
        <v>7.9268151316328308E-4</v>
      </c>
      <c r="F14" s="183">
        <f t="shared" si="1"/>
        <v>9.9738172011505579E-4</v>
      </c>
      <c r="G14" s="183">
        <f t="shared" si="1"/>
        <v>1.8509563107159833E-3</v>
      </c>
      <c r="H14" s="183">
        <f t="shared" si="1"/>
        <v>2.2953315459156537E-3</v>
      </c>
      <c r="I14" s="183">
        <f t="shared" si="1"/>
        <v>1.5754463969717247E-3</v>
      </c>
      <c r="J14" s="183">
        <f t="shared" si="1"/>
        <v>1.0288458037928923E-3</v>
      </c>
      <c r="K14" s="184">
        <f t="shared" si="1"/>
        <v>1.0017219455494284E-3</v>
      </c>
      <c r="L14" s="180"/>
      <c r="M14" s="530">
        <f>AVERAGE(D52:INDEX(D52:K52,0,MATCH('RFPR cover'!$C$7,$D$6:$K$6,0)))/AVERAGE($D$65:INDEX($D$65:$K$65,0,MATCH('RFPR cover'!$C$7,$D$6:$K$6,0)))</f>
        <v>1.4342645891359134E-3</v>
      </c>
      <c r="N14" s="531">
        <f t="shared" si="3"/>
        <v>1.3107317084140877E-3</v>
      </c>
    </row>
    <row r="15" spans="1:15">
      <c r="B15" s="258" t="str">
        <f t="shared" si="2"/>
        <v>SF6 Emissions</v>
      </c>
      <c r="C15" s="260" t="s">
        <v>7</v>
      </c>
      <c r="D15" s="182">
        <f t="shared" si="1"/>
        <v>-1.9430972660433514E-4</v>
      </c>
      <c r="E15" s="183">
        <f t="shared" si="1"/>
        <v>1.0949908089495731E-4</v>
      </c>
      <c r="F15" s="183">
        <f t="shared" si="1"/>
        <v>1.8159082255293291E-4</v>
      </c>
      <c r="G15" s="183">
        <f t="shared" si="1"/>
        <v>2.9173765822208532E-4</v>
      </c>
      <c r="H15" s="183">
        <f t="shared" si="1"/>
        <v>2.7278680785454656E-4</v>
      </c>
      <c r="I15" s="183">
        <f t="shared" si="1"/>
        <v>6.8645015355041922E-5</v>
      </c>
      <c r="J15" s="183">
        <f t="shared" si="1"/>
        <v>5.1442290189644619E-5</v>
      </c>
      <c r="K15" s="184">
        <f t="shared" si="1"/>
        <v>5.0086097277471425E-5</v>
      </c>
      <c r="L15" s="180"/>
      <c r="M15" s="530">
        <f>AVERAGE(D53:INDEX(D53:K53,0,MATCH('RFPR cover'!$C$7,$D$6:$K$6,0)))/AVERAGE($D$65:INDEX($D$65:$K$65,0,MATCH('RFPR cover'!$C$7,$D$6:$K$6,0)))</f>
        <v>1.3844945117879944E-4</v>
      </c>
      <c r="N15" s="531">
        <f t="shared" si="3"/>
        <v>1.1260470687806187E-4</v>
      </c>
    </row>
    <row r="16" spans="1:15">
      <c r="B16" s="258" t="str">
        <f t="shared" si="2"/>
        <v>Environmental Discretionary Reward</v>
      </c>
      <c r="C16" s="260" t="s">
        <v>7</v>
      </c>
      <c r="D16" s="182">
        <f t="shared" si="1"/>
        <v>0</v>
      </c>
      <c r="E16" s="183">
        <f t="shared" si="1"/>
        <v>0</v>
      </c>
      <c r="F16" s="183">
        <f t="shared" si="1"/>
        <v>4.3725482349079095E-3</v>
      </c>
      <c r="G16" s="183">
        <f t="shared" si="1"/>
        <v>3.7573043598133284E-3</v>
      </c>
      <c r="H16" s="183">
        <f t="shared" si="1"/>
        <v>0</v>
      </c>
      <c r="I16" s="183">
        <f t="shared" si="1"/>
        <v>0</v>
      </c>
      <c r="J16" s="183">
        <f t="shared" si="1"/>
        <v>5.1442290189644615E-4</v>
      </c>
      <c r="K16" s="184">
        <f t="shared" si="1"/>
        <v>5.0086097277471419E-4</v>
      </c>
      <c r="L16" s="180"/>
      <c r="M16" s="530">
        <f>AVERAGE(D54:INDEX(D54:K54,0,MATCH('RFPR cover'!$C$7,$D$6:$K$6,0)))/AVERAGE($D$65:INDEX($D$65:$K$65,0,MATCH('RFPR cover'!$C$7,$D$6:$K$6,0)))</f>
        <v>1.3626768883327766E-3</v>
      </c>
      <c r="N16" s="531">
        <f t="shared" si="3"/>
        <v>1.1106594048673275E-3</v>
      </c>
    </row>
    <row r="17" spans="2:15">
      <c r="B17" s="258" t="str">
        <f t="shared" si="2"/>
        <v xml:space="preserve">Performance re offers of timely connection </v>
      </c>
      <c r="C17" s="260" t="s">
        <v>7</v>
      </c>
      <c r="D17" s="182">
        <f t="shared" si="1"/>
        <v>-7.52295802715598E-5</v>
      </c>
      <c r="E17" s="183">
        <f t="shared" si="1"/>
        <v>-4.6249432851032046E-5</v>
      </c>
      <c r="F17" s="183">
        <f t="shared" si="1"/>
        <v>0</v>
      </c>
      <c r="G17" s="183">
        <f t="shared" si="1"/>
        <v>0</v>
      </c>
      <c r="H17" s="183">
        <f t="shared" si="1"/>
        <v>-2.4724614515931433E-5</v>
      </c>
      <c r="I17" s="183">
        <f t="shared" si="1"/>
        <v>0</v>
      </c>
      <c r="J17" s="183">
        <f t="shared" si="1"/>
        <v>-5.1442290189644619E-5</v>
      </c>
      <c r="K17" s="184">
        <f t="shared" si="1"/>
        <v>-5.0086097277471425E-5</v>
      </c>
      <c r="L17" s="180"/>
      <c r="M17" s="530">
        <f>AVERAGE(D55:INDEX(D55:K55,0,MATCH('RFPR cover'!$C$7,$D$6:$K$6,0)))/AVERAGE($D$65:INDEX($D$65:$K$65,0,MATCH('RFPR cover'!$C$7,$D$6:$K$6,0)))</f>
        <v>-2.0889139031506871E-5</v>
      </c>
      <c r="N17" s="531">
        <f t="shared" si="3"/>
        <v>-2.9691067059444251E-5</v>
      </c>
    </row>
    <row r="18" spans="2:15">
      <c r="B18" s="258" t="str">
        <f t="shared" si="2"/>
        <v xml:space="preserve">Network Innovation </v>
      </c>
      <c r="C18" s="260" t="s">
        <v>7</v>
      </c>
      <c r="D18" s="182">
        <f t="shared" si="1"/>
        <v>-1.1248026436406492E-4</v>
      </c>
      <c r="E18" s="183">
        <f t="shared" si="1"/>
        <v>-1.2540079838450899E-3</v>
      </c>
      <c r="F18" s="183">
        <f t="shared" si="1"/>
        <v>-1.3995230925227262E-3</v>
      </c>
      <c r="G18" s="183">
        <f t="shared" si="1"/>
        <v>-2.1853544290953066E-3</v>
      </c>
      <c r="H18" s="183">
        <f t="shared" si="1"/>
        <v>-1.3473897507697405E-4</v>
      </c>
      <c r="I18" s="183">
        <f t="shared" si="1"/>
        <v>5.892787029410883E-4</v>
      </c>
      <c r="J18" s="183">
        <f t="shared" si="1"/>
        <v>-1.1919881554339458E-4</v>
      </c>
      <c r="K18" s="184">
        <f t="shared" si="1"/>
        <v>-1.1292272561719075E-4</v>
      </c>
      <c r="L18" s="180"/>
      <c r="M18" s="530">
        <f>AVERAGE(D56:INDEX(D56:K56,0,MATCH('RFPR cover'!$C$7,$D$6:$K$6,0)))/AVERAGE($D$65:INDEX($D$65:$K$65,0,MATCH('RFPR cover'!$C$7,$D$6:$K$6,0)))</f>
        <v>-7.1038059797727223E-4</v>
      </c>
      <c r="N18" s="531">
        <f t="shared" si="3"/>
        <v>-5.3521385814342534E-4</v>
      </c>
    </row>
    <row r="19" spans="2:15">
      <c r="B19" s="258" t="str">
        <f>B57</f>
        <v>Penalties and fines</v>
      </c>
      <c r="C19" s="260" t="s">
        <v>7</v>
      </c>
      <c r="D19" s="192">
        <f t="shared" si="1"/>
        <v>0</v>
      </c>
      <c r="E19" s="193">
        <f t="shared" si="1"/>
        <v>0</v>
      </c>
      <c r="F19" s="193">
        <f t="shared" si="1"/>
        <v>0</v>
      </c>
      <c r="G19" s="193">
        <f t="shared" si="1"/>
        <v>0</v>
      </c>
      <c r="H19" s="193">
        <f t="shared" si="1"/>
        <v>0</v>
      </c>
      <c r="I19" s="193">
        <f t="shared" si="1"/>
        <v>0</v>
      </c>
      <c r="J19" s="193">
        <f t="shared" si="1"/>
        <v>0</v>
      </c>
      <c r="K19" s="194">
        <f t="shared" si="1"/>
        <v>0</v>
      </c>
      <c r="L19" s="180"/>
      <c r="M19" s="530">
        <f>AVERAGE(D57:INDEX(D57:K57,0,MATCH('RFPR cover'!$C$7,$D$6:$K$6,0)))/AVERAGE($D$65:INDEX($D$65:$K$65,0,MATCH('RFPR cover'!$C$7,$D$6:$K$6,0)))</f>
        <v>0</v>
      </c>
      <c r="N19" s="531">
        <f t="shared" si="3"/>
        <v>0</v>
      </c>
    </row>
    <row r="20" spans="2:15">
      <c r="B20" s="259" t="str">
        <f>B58</f>
        <v>RoRE - Operational performance</v>
      </c>
      <c r="C20" s="260" t="s">
        <v>7</v>
      </c>
      <c r="D20" s="195">
        <f t="shared" ref="D20:K20" si="4">SUM(D10:D19)</f>
        <v>0.11329872920799007</v>
      </c>
      <c r="E20" s="196">
        <f t="shared" si="4"/>
        <v>0.10152147233154196</v>
      </c>
      <c r="F20" s="196">
        <f t="shared" si="4"/>
        <v>0.11102735099503619</v>
      </c>
      <c r="G20" s="196">
        <f t="shared" si="4"/>
        <v>8.5408127039375836E-2</v>
      </c>
      <c r="H20" s="196">
        <f t="shared" si="4"/>
        <v>8.1729091056992831E-2</v>
      </c>
      <c r="I20" s="196">
        <f t="shared" si="4"/>
        <v>8.138617475584646E-2</v>
      </c>
      <c r="J20" s="196">
        <f t="shared" si="4"/>
        <v>7.9610870576745874E-2</v>
      </c>
      <c r="K20" s="197">
        <f t="shared" si="4"/>
        <v>7.5128135262505349E-2</v>
      </c>
      <c r="L20" s="181"/>
      <c r="M20" s="198">
        <f>SUM(M10:M19)</f>
        <v>9.3730367331586739E-2</v>
      </c>
      <c r="N20" s="200">
        <f>SUM(N10:N19)</f>
        <v>8.8899767548089856E-2</v>
      </c>
    </row>
    <row r="21" spans="2:15">
      <c r="B21" s="258" t="str">
        <f>B59</f>
        <v>Debt performance - at notional gearing</v>
      </c>
      <c r="C21" s="260" t="s">
        <v>7</v>
      </c>
      <c r="D21" s="182">
        <f>(D59)/D$65</f>
        <v>2.6639325379919841E-2</v>
      </c>
      <c r="E21" s="183">
        <f t="shared" ref="E21:K21" si="5">(E59)/E$65</f>
        <v>1.5593598190209586E-2</v>
      </c>
      <c r="F21" s="183">
        <f t="shared" si="5"/>
        <v>3.1474374851459723E-3</v>
      </c>
      <c r="G21" s="183">
        <f t="shared" si="5"/>
        <v>1.6932353944173376E-2</v>
      </c>
      <c r="H21" s="183">
        <f t="shared" si="5"/>
        <v>3.7888633917642973E-2</v>
      </c>
      <c r="I21" s="183">
        <f t="shared" si="5"/>
        <v>2.7964078576453978E-2</v>
      </c>
      <c r="J21" s="183">
        <f t="shared" si="5"/>
        <v>1.9632424681928898E-2</v>
      </c>
      <c r="K21" s="184">
        <f t="shared" si="5"/>
        <v>1.3055402807947401E-2</v>
      </c>
      <c r="L21" s="180"/>
      <c r="M21" s="530">
        <f>AVERAGE(D59:INDEX(D59:K59,0,MATCH('RFPR cover'!$C$7,$D$6:$K$6,0)))/AVERAGE($D$65:INDEX($D$65:$K$65,0,MATCH('RFPR cover'!$C$7,$D$6:$K$6,0)))</f>
        <v>2.2112194309150839E-2</v>
      </c>
      <c r="N21" s="531">
        <f t="shared" ref="N21" si="6">AVERAGE(D59:K59)/AVERAGE($D$65:$K$65)</f>
        <v>2.039925519422426E-2</v>
      </c>
    </row>
    <row r="22" spans="2:15">
      <c r="B22" s="258" t="str">
        <f>B61</f>
        <v>Tax performance - at notional gearing</v>
      </c>
      <c r="C22" s="260" t="s">
        <v>7</v>
      </c>
      <c r="D22" s="182">
        <f>(D61)/D$65</f>
        <v>-3.3170289176910161E-3</v>
      </c>
      <c r="E22" s="183">
        <f t="shared" ref="E22:K22" si="7">(E61)/E$65</f>
        <v>3.6049400170520413E-3</v>
      </c>
      <c r="F22" s="183">
        <f t="shared" si="7"/>
        <v>4.6980363149563961E-4</v>
      </c>
      <c r="G22" s="183">
        <f t="shared" si="7"/>
        <v>-2.9225577960416463E-3</v>
      </c>
      <c r="H22" s="183">
        <f t="shared" si="7"/>
        <v>-5.977794764711568E-4</v>
      </c>
      <c r="I22" s="183">
        <f t="shared" si="7"/>
        <v>-1.039577753495255E-3</v>
      </c>
      <c r="J22" s="183">
        <f t="shared" si="7"/>
        <v>-3.4129393062380182E-4</v>
      </c>
      <c r="K22" s="184">
        <f t="shared" si="7"/>
        <v>-8.9329758001163826E-4</v>
      </c>
      <c r="L22" s="180"/>
      <c r="M22" s="530">
        <f>AVERAGE(D61:INDEX(D61:K61,0,MATCH('RFPR cover'!$C$7,$D$6:$K$6,0)))/AVERAGE($D$65:INDEX($D$65:$K$65,0,MATCH('RFPR cover'!$C$7,$D$6:$K$6,0)))</f>
        <v>-6.9404290453017501E-4</v>
      </c>
      <c r="N22" s="531">
        <f>AVERAGE(D61:K61)/AVERAGE($D$65:$K$65)</f>
        <v>-6.7251098610590415E-4</v>
      </c>
    </row>
    <row r="23" spans="2:15">
      <c r="B23" s="259" t="str">
        <f>B63</f>
        <v>RoRE - including financing and tax</v>
      </c>
      <c r="C23" s="260" t="s">
        <v>7</v>
      </c>
      <c r="D23" s="198">
        <f>SUM(D20:D22)</f>
        <v>0.13662102567021892</v>
      </c>
      <c r="E23" s="199">
        <f t="shared" ref="E23:K23" si="8">SUM(E20:E22)</f>
        <v>0.12072001053880359</v>
      </c>
      <c r="F23" s="199">
        <f t="shared" si="8"/>
        <v>0.1146445921116778</v>
      </c>
      <c r="G23" s="199">
        <f t="shared" si="8"/>
        <v>9.941792318750757E-2</v>
      </c>
      <c r="H23" s="199">
        <f t="shared" si="8"/>
        <v>0.11901994549816464</v>
      </c>
      <c r="I23" s="199">
        <f t="shared" si="8"/>
        <v>0.10831067557880519</v>
      </c>
      <c r="J23" s="199">
        <f t="shared" si="8"/>
        <v>9.8902001328050965E-2</v>
      </c>
      <c r="K23" s="200">
        <f t="shared" si="8"/>
        <v>8.7290240490441109E-2</v>
      </c>
      <c r="L23" s="181"/>
      <c r="M23" s="198">
        <f>SUM(M20:M22)</f>
        <v>0.11514851873620741</v>
      </c>
      <c r="N23" s="200">
        <f>SUM(N20:N22)</f>
        <v>0.10862651175620822</v>
      </c>
    </row>
    <row r="26" spans="2:15" s="32" customFormat="1">
      <c r="B26" s="492"/>
      <c r="C26" s="382"/>
    </row>
    <row r="27" spans="2:15">
      <c r="B27" s="554" t="s">
        <v>216</v>
      </c>
      <c r="C27" s="446"/>
      <c r="D27" s="223"/>
      <c r="E27" s="223"/>
      <c r="F27" s="223"/>
      <c r="G27" s="223"/>
      <c r="H27" s="223"/>
      <c r="I27" s="223"/>
      <c r="J27" s="223"/>
      <c r="K27" s="223"/>
      <c r="L27" s="555"/>
      <c r="M27" s="223"/>
      <c r="N27" s="223"/>
      <c r="O27" s="223"/>
    </row>
    <row r="28" spans="2:15">
      <c r="B28" s="205"/>
      <c r="L28" s="50"/>
    </row>
    <row r="29" spans="2:15">
      <c r="B29" s="258" t="s">
        <v>215</v>
      </c>
      <c r="C29" s="260" t="s">
        <v>7</v>
      </c>
      <c r="D29" s="182">
        <f t="shared" ref="D29:K38" si="9">D48/D$66</f>
        <v>5.9880935641065766E-2</v>
      </c>
      <c r="E29" s="183">
        <f t="shared" si="9"/>
        <v>7.8494239455889847E-2</v>
      </c>
      <c r="F29" s="183">
        <f t="shared" si="9"/>
        <v>9.2612097093175041E-2</v>
      </c>
      <c r="G29" s="183">
        <f t="shared" si="9"/>
        <v>7.9293408063503698E-2</v>
      </c>
      <c r="H29" s="183">
        <f t="shared" si="9"/>
        <v>7.0934588153465206E-2</v>
      </c>
      <c r="I29" s="183">
        <f t="shared" si="9"/>
        <v>7.1591540652845329E-2</v>
      </c>
      <c r="J29" s="183">
        <f t="shared" si="9"/>
        <v>7.2888885907818377E-2</v>
      </c>
      <c r="K29" s="184">
        <f t="shared" si="9"/>
        <v>7.1710891290075338E-2</v>
      </c>
      <c r="L29" s="180"/>
      <c r="M29" s="530">
        <f>AVERAGE(D48:INDEX(D48:K48,0,MATCH('RFPR cover'!$C$7,$D$6:$K$6,0)))/AVERAGE($D$66:INDEX($D$66:$K$66,0,MATCH('RFPR cover'!$C$7,$D$6:$K$6,0)))</f>
        <v>7.4475800179399393E-2</v>
      </c>
      <c r="N29" s="531">
        <f>AVERAGE(D48:K48)/AVERAGE($D$66:$K$66)</f>
        <v>7.3817144912281446E-2</v>
      </c>
    </row>
    <row r="30" spans="2:15">
      <c r="B30" s="258" t="str">
        <f t="shared" ref="B30:B37" si="10">B49</f>
        <v>Totex outperformance</v>
      </c>
      <c r="C30" s="260" t="s">
        <v>7</v>
      </c>
      <c r="D30" s="182">
        <f t="shared" si="9"/>
        <v>1.9834220615154965E-2</v>
      </c>
      <c r="E30" s="183">
        <f t="shared" si="9"/>
        <v>2.9937778077038308E-2</v>
      </c>
      <c r="F30" s="183">
        <f t="shared" si="9"/>
        <v>7.0049542612960194E-3</v>
      </c>
      <c r="G30" s="183">
        <f t="shared" si="9"/>
        <v>1.3428998840879826E-3</v>
      </c>
      <c r="H30" s="183">
        <f t="shared" si="9"/>
        <v>-3.3572752696568069E-4</v>
      </c>
      <c r="I30" s="183">
        <f t="shared" si="9"/>
        <v>5.3188179858099605E-5</v>
      </c>
      <c r="J30" s="183">
        <f t="shared" si="9"/>
        <v>5.2843651194146765E-5</v>
      </c>
      <c r="K30" s="184">
        <f t="shared" si="9"/>
        <v>-2.6032815606098153E-3</v>
      </c>
      <c r="L30" s="180"/>
      <c r="M30" s="530">
        <f>AVERAGE(D49:INDEX(D49:K49,0,MATCH('RFPR cover'!$C$7,$D$6:$K$6,0)))/AVERAGE($D$66:INDEX($D$66:$K$66,0,MATCH('RFPR cover'!$C$7,$D$6:$K$6,0)))</f>
        <v>8.1771726996448801E-3</v>
      </c>
      <c r="N30" s="531">
        <f t="shared" ref="N30:N38" si="11">AVERAGE(D49:K49)/AVERAGE($D$66:$K$66)</f>
        <v>5.3238673884159803E-3</v>
      </c>
    </row>
    <row r="31" spans="2:15">
      <c r="B31" s="258" t="str">
        <f t="shared" si="10"/>
        <v>IQI Reward</v>
      </c>
      <c r="C31" s="260" t="s">
        <v>7</v>
      </c>
      <c r="D31" s="182">
        <f t="shared" si="9"/>
        <v>1.445421923705272E-2</v>
      </c>
      <c r="E31" s="183">
        <f t="shared" si="9"/>
        <v>2.1694784558716393E-3</v>
      </c>
      <c r="F31" s="183">
        <f t="shared" si="9"/>
        <v>3.8110993672706185E-2</v>
      </c>
      <c r="G31" s="183">
        <f t="shared" si="9"/>
        <v>9.097588793182591E-3</v>
      </c>
      <c r="H31" s="183">
        <f t="shared" si="9"/>
        <v>7.4229626453347032E-3</v>
      </c>
      <c r="I31" s="183">
        <f t="shared" si="9"/>
        <v>7.3260375218914273E-3</v>
      </c>
      <c r="J31" s="183">
        <f t="shared" si="9"/>
        <v>7.4005185886091771E-3</v>
      </c>
      <c r="K31" s="184">
        <f t="shared" si="9"/>
        <v>5.4069245003354003E-3</v>
      </c>
      <c r="L31" s="180"/>
      <c r="M31" s="530">
        <f>AVERAGE(D50:INDEX(D50:K50,0,MATCH('RFPR cover'!$C$7,$D$6:$K$6,0)))/AVERAGE($D$66:INDEX($D$66:$K$66,0,MATCH('RFPR cover'!$C$7,$D$6:$K$6,0)))</f>
        <v>1.198889144921805E-2</v>
      </c>
      <c r="N31" s="531">
        <f t="shared" si="11"/>
        <v>1.0301575918405552E-2</v>
      </c>
    </row>
    <row r="32" spans="2:15">
      <c r="B32" s="258" t="str">
        <f t="shared" si="10"/>
        <v>Network Reliability Incentive</v>
      </c>
      <c r="C32" s="260" t="s">
        <v>7</v>
      </c>
      <c r="D32" s="182">
        <f t="shared" si="9"/>
        <v>2.6050280738072217E-3</v>
      </c>
      <c r="E32" s="183">
        <f t="shared" si="9"/>
        <v>3.6856111046934675E-3</v>
      </c>
      <c r="F32" s="183">
        <f t="shared" si="9"/>
        <v>3.6712492244160627E-3</v>
      </c>
      <c r="G32" s="183">
        <f t="shared" si="9"/>
        <v>2.8054560410365236E-3</v>
      </c>
      <c r="H32" s="183">
        <f t="shared" si="9"/>
        <v>2.3576407365092614E-3</v>
      </c>
      <c r="I32" s="183">
        <f t="shared" si="9"/>
        <v>1.981679805586666E-3</v>
      </c>
      <c r="J32" s="183">
        <f t="shared" si="9"/>
        <v>1.0713060629913972E-3</v>
      </c>
      <c r="K32" s="184">
        <f t="shared" si="9"/>
        <v>1.0262053362882545E-3</v>
      </c>
      <c r="L32" s="180"/>
      <c r="M32" s="530">
        <f>AVERAGE(D51:INDEX(D51:K51,0,MATCH('RFPR cover'!$C$7,$D$6:$K$6,0)))/AVERAGE($D$66:INDEX($D$66:$K$66,0,MATCH('RFPR cover'!$C$7,$D$6:$K$6,0)))</f>
        <v>2.7365702244418872E-3</v>
      </c>
      <c r="N32" s="531">
        <f t="shared" si="11"/>
        <v>2.228474006997288E-3</v>
      </c>
    </row>
    <row r="33" spans="2:15">
      <c r="B33" s="258" t="str">
        <f t="shared" si="10"/>
        <v>Stakeholder Satisfaction Output</v>
      </c>
      <c r="C33" s="260" t="s">
        <v>7</v>
      </c>
      <c r="D33" s="182">
        <f t="shared" si="9"/>
        <v>4.728764511655942E-4</v>
      </c>
      <c r="E33" s="183">
        <f t="shared" si="9"/>
        <v>8.8887046437851193E-4</v>
      </c>
      <c r="F33" s="183">
        <f t="shared" si="9"/>
        <v>1.3195658957464785E-3</v>
      </c>
      <c r="G33" s="183">
        <f t="shared" si="9"/>
        <v>2.0966947721902827E-3</v>
      </c>
      <c r="H33" s="183">
        <f t="shared" si="9"/>
        <v>2.3259771126454784E-3</v>
      </c>
      <c r="I33" s="183">
        <f t="shared" si="9"/>
        <v>1.6112662110739989E-3</v>
      </c>
      <c r="J33" s="183">
        <f t="shared" si="9"/>
        <v>1.0713060629913972E-3</v>
      </c>
      <c r="K33" s="184">
        <f t="shared" si="9"/>
        <v>1.0262053362882545E-3</v>
      </c>
      <c r="L33" s="180"/>
      <c r="M33" s="530">
        <f>AVERAGE(D52:INDEX(D52:K52,0,MATCH('RFPR cover'!$C$7,$D$6:$K$6,0)))/AVERAGE($D$66:INDEX($D$66:$K$66,0,MATCH('RFPR cover'!$C$7,$D$6:$K$6,0)))</f>
        <v>1.5259714706410668E-3</v>
      </c>
      <c r="N33" s="531">
        <f t="shared" si="11"/>
        <v>1.382206749444642E-3</v>
      </c>
    </row>
    <row r="34" spans="2:15">
      <c r="B34" s="258" t="str">
        <f t="shared" si="10"/>
        <v>SF6 Emissions</v>
      </c>
      <c r="C34" s="260" t="s">
        <v>7</v>
      </c>
      <c r="D34" s="182">
        <f t="shared" si="9"/>
        <v>-1.6622068904610391E-4</v>
      </c>
      <c r="E34" s="183">
        <f t="shared" si="9"/>
        <v>1.2278638679955186E-4</v>
      </c>
      <c r="F34" s="183">
        <f t="shared" si="9"/>
        <v>2.4025009842145345E-4</v>
      </c>
      <c r="G34" s="183">
        <f t="shared" si="9"/>
        <v>3.3046961686992554E-4</v>
      </c>
      <c r="H34" s="183">
        <f t="shared" si="9"/>
        <v>2.7642885526943866E-4</v>
      </c>
      <c r="I34" s="183">
        <f t="shared" si="9"/>
        <v>7.0205748677223931E-5</v>
      </c>
      <c r="J34" s="183">
        <f t="shared" si="9"/>
        <v>5.3565303149569859E-5</v>
      </c>
      <c r="K34" s="184">
        <f t="shared" si="9"/>
        <v>5.1310266814412735E-5</v>
      </c>
      <c r="L34" s="180"/>
      <c r="M34" s="530">
        <f>AVERAGE(D53:INDEX(D53:K53,0,MATCH('RFPR cover'!$C$7,$D$6:$K$6,0)))/AVERAGE($D$66:INDEX($D$66:$K$66,0,MATCH('RFPR cover'!$C$7,$D$6:$K$6,0)))</f>
        <v>1.4730190944199685E-4</v>
      </c>
      <c r="N34" s="531">
        <f t="shared" si="11"/>
        <v>1.1874511379175525E-4</v>
      </c>
    </row>
    <row r="35" spans="2:15">
      <c r="B35" s="258" t="str">
        <f t="shared" si="10"/>
        <v>Environmental Discretionary Reward</v>
      </c>
      <c r="C35" s="260" t="s">
        <v>7</v>
      </c>
      <c r="D35" s="182">
        <f t="shared" si="9"/>
        <v>0</v>
      </c>
      <c r="E35" s="183">
        <f t="shared" si="9"/>
        <v>0</v>
      </c>
      <c r="F35" s="183">
        <f t="shared" si="9"/>
        <v>5.7850123096554644E-3</v>
      </c>
      <c r="G35" s="183">
        <f t="shared" si="9"/>
        <v>4.2561352545922816E-3</v>
      </c>
      <c r="H35" s="183">
        <f t="shared" si="9"/>
        <v>0</v>
      </c>
      <c r="I35" s="183">
        <f t="shared" si="9"/>
        <v>0</v>
      </c>
      <c r="J35" s="183">
        <f t="shared" si="9"/>
        <v>5.356530314956986E-4</v>
      </c>
      <c r="K35" s="184">
        <f t="shared" si="9"/>
        <v>5.1310266814412725E-4</v>
      </c>
      <c r="L35" s="180"/>
      <c r="M35" s="530">
        <f>AVERAGE(D54:INDEX(D54:K54,0,MATCH('RFPR cover'!$C$7,$D$6:$K$6,0)))/AVERAGE($D$66:INDEX($D$66:$K$66,0,MATCH('RFPR cover'!$C$7,$D$6:$K$6,0)))</f>
        <v>1.449806452065109E-3</v>
      </c>
      <c r="N35" s="531">
        <f t="shared" si="11"/>
        <v>1.1712243748182828E-3</v>
      </c>
    </row>
    <row r="36" spans="2:15">
      <c r="B36" s="258" t="str">
        <f t="shared" si="10"/>
        <v xml:space="preserve">Performance re offers of timely connection </v>
      </c>
      <c r="C36" s="260" t="s">
        <v>7</v>
      </c>
      <c r="D36" s="182">
        <f t="shared" si="9"/>
        <v>-6.4354537922080889E-5</v>
      </c>
      <c r="E36" s="183">
        <f t="shared" si="9"/>
        <v>-5.186162938440011E-5</v>
      </c>
      <c r="F36" s="183">
        <f t="shared" si="9"/>
        <v>0</v>
      </c>
      <c r="G36" s="183">
        <f t="shared" si="9"/>
        <v>0</v>
      </c>
      <c r="H36" s="183">
        <f t="shared" si="9"/>
        <v>-2.5054719256296907E-5</v>
      </c>
      <c r="I36" s="183">
        <f t="shared" si="9"/>
        <v>0</v>
      </c>
      <c r="J36" s="183">
        <f t="shared" si="9"/>
        <v>-5.3565303149569859E-5</v>
      </c>
      <c r="K36" s="184">
        <f t="shared" si="9"/>
        <v>-5.1310266814412735E-5</v>
      </c>
      <c r="L36" s="180"/>
      <c r="M36" s="530">
        <f>AVERAGE(D55:INDEX(D55:K55,0,MATCH('RFPR cover'!$C$7,$D$6:$K$6,0)))/AVERAGE($D$66:INDEX($D$66:$K$66,0,MATCH('RFPR cover'!$C$7,$D$6:$K$6,0)))</f>
        <v>-2.2224790634717119E-5</v>
      </c>
      <c r="N36" s="531">
        <f t="shared" si="11"/>
        <v>-3.1310139996103743E-5</v>
      </c>
    </row>
    <row r="37" spans="2:15">
      <c r="B37" s="258" t="str">
        <f t="shared" si="10"/>
        <v xml:space="preserve">Network Innovation </v>
      </c>
      <c r="C37" s="260" t="s">
        <v>7</v>
      </c>
      <c r="D37" s="182">
        <f t="shared" si="9"/>
        <v>-9.6220335303923336E-5</v>
      </c>
      <c r="E37" s="183">
        <f t="shared" si="9"/>
        <v>-1.4061771851933448E-3</v>
      </c>
      <c r="F37" s="183">
        <f t="shared" si="9"/>
        <v>-1.8516109789836472E-3</v>
      </c>
      <c r="G37" s="183">
        <f t="shared" si="9"/>
        <v>-2.4754885787091328E-3</v>
      </c>
      <c r="H37" s="183">
        <f t="shared" si="9"/>
        <v>-1.3653791007578808E-4</v>
      </c>
      <c r="I37" s="183">
        <f t="shared" si="9"/>
        <v>6.0267671739232687E-4</v>
      </c>
      <c r="J37" s="183">
        <f t="shared" si="9"/>
        <v>-1.2411812666413677E-4</v>
      </c>
      <c r="K37" s="184">
        <f t="shared" si="9"/>
        <v>-1.1568270429876243E-4</v>
      </c>
      <c r="L37" s="180"/>
      <c r="M37" s="530">
        <f>AVERAGE(D56:INDEX(D56:K56,0,MATCH('RFPR cover'!$C$7,$D$6:$K$6,0)))/AVERAGE($D$66:INDEX($D$66:$K$66,0,MATCH('RFPR cover'!$C$7,$D$6:$K$6,0)))</f>
        <v>-7.5580233523253691E-4</v>
      </c>
      <c r="N37" s="531">
        <f t="shared" si="11"/>
        <v>-5.6439941322334957E-4</v>
      </c>
    </row>
    <row r="38" spans="2:15">
      <c r="B38" s="258" t="str">
        <f>B57</f>
        <v>Penalties and fines</v>
      </c>
      <c r="C38" s="260" t="s">
        <v>7</v>
      </c>
      <c r="D38" s="192">
        <f t="shared" si="9"/>
        <v>0</v>
      </c>
      <c r="E38" s="193">
        <f t="shared" si="9"/>
        <v>0</v>
      </c>
      <c r="F38" s="193">
        <f t="shared" si="9"/>
        <v>0</v>
      </c>
      <c r="G38" s="193">
        <f t="shared" si="9"/>
        <v>0</v>
      </c>
      <c r="H38" s="193">
        <f t="shared" si="9"/>
        <v>0</v>
      </c>
      <c r="I38" s="193">
        <f t="shared" si="9"/>
        <v>0</v>
      </c>
      <c r="J38" s="193">
        <f t="shared" si="9"/>
        <v>0</v>
      </c>
      <c r="K38" s="194">
        <f t="shared" si="9"/>
        <v>0</v>
      </c>
      <c r="L38" s="180"/>
      <c r="M38" s="530">
        <f>AVERAGE(D57:INDEX(D57:K57,0,MATCH('RFPR cover'!$C$7,$D$6:$K$6,0)))/AVERAGE($D$66:INDEX($D$66:$K$66,0,MATCH('RFPR cover'!$C$7,$D$6:$K$6,0)))</f>
        <v>0</v>
      </c>
      <c r="N38" s="531">
        <f t="shared" si="11"/>
        <v>0</v>
      </c>
    </row>
    <row r="39" spans="2:15">
      <c r="B39" s="259" t="str">
        <f>B58</f>
        <v>RoRE - Operational performance</v>
      </c>
      <c r="C39" s="260" t="s">
        <v>7</v>
      </c>
      <c r="D39" s="195">
        <f t="shared" ref="D39:K39" si="12">SUM(D29:D38)</f>
        <v>9.6920484455974149E-2</v>
      </c>
      <c r="E39" s="196">
        <f t="shared" si="12"/>
        <v>0.11384072513009356</v>
      </c>
      <c r="F39" s="196">
        <f t="shared" si="12"/>
        <v>0.14689251157643307</v>
      </c>
      <c r="G39" s="196">
        <f t="shared" si="12"/>
        <v>9.674716384675415E-2</v>
      </c>
      <c r="H39" s="196">
        <f t="shared" si="12"/>
        <v>8.2820277346926333E-2</v>
      </c>
      <c r="I39" s="196">
        <f t="shared" si="12"/>
        <v>8.3236594837325067E-2</v>
      </c>
      <c r="J39" s="196">
        <f t="shared" si="12"/>
        <v>8.2896395178436055E-2</v>
      </c>
      <c r="K39" s="197">
        <f t="shared" si="12"/>
        <v>7.6964364866222781E-2</v>
      </c>
      <c r="L39" s="181"/>
      <c r="M39" s="198">
        <f>SUM(M29:M38)</f>
        <v>9.9723487258985138E-2</v>
      </c>
      <c r="N39" s="200">
        <f>SUM(N29:N38)</f>
        <v>9.374752891093549E-2</v>
      </c>
    </row>
    <row r="40" spans="2:15">
      <c r="B40" s="258" t="s">
        <v>445</v>
      </c>
      <c r="C40" s="260" t="s">
        <v>7</v>
      </c>
      <c r="D40" s="182">
        <f>(D59+D60)/D$66</f>
        <v>2.385873123982853E-2</v>
      </c>
      <c r="E40" s="183">
        <f t="shared" ref="E40:K40" si="13">(E59+E60)/E$66</f>
        <v>1.5733388703104617E-2</v>
      </c>
      <c r="F40" s="183">
        <f t="shared" si="13"/>
        <v>-3.2412508193465058E-3</v>
      </c>
      <c r="G40" s="183">
        <f t="shared" si="13"/>
        <v>1.7859849090345215E-2</v>
      </c>
      <c r="H40" s="183">
        <f t="shared" si="13"/>
        <v>3.8511983191840342E-2</v>
      </c>
      <c r="I40" s="183">
        <f t="shared" si="13"/>
        <v>2.8685814506730533E-2</v>
      </c>
      <c r="J40" s="183">
        <f t="shared" si="13"/>
        <v>2.0453500434162355E-2</v>
      </c>
      <c r="K40" s="184">
        <f t="shared" si="13"/>
        <v>1.3356937523889476E-2</v>
      </c>
      <c r="L40" s="180"/>
      <c r="M40" s="530">
        <f>(AVERAGE(D59:INDEX(D59:K59,0,MATCH('RFPR cover'!$C$7,$D$6:$K$6,0)))+AVERAGE(D60:INDEX(D60:K60,0,MATCH('RFPR cover'!$C$7,$D$6:$K$6,0))))/AVERAGE($D$66:INDEX($D$66:$K$66,0,MATCH('RFPR cover'!$C$7,$D$6:$K$6,0)))</f>
        <v>2.2344819361552744E-2</v>
      </c>
      <c r="N40" s="531">
        <f>(AVERAGE(D59:K59)+AVERAGE(D60:K60))/AVERAGE($D$66:$K$66)</f>
        <v>2.0684802375763079E-2</v>
      </c>
    </row>
    <row r="41" spans="2:15">
      <c r="B41" s="258" t="s">
        <v>446</v>
      </c>
      <c r="C41" s="260" t="s">
        <v>7</v>
      </c>
      <c r="D41" s="182">
        <f>(D61+D62)/D$66</f>
        <v>-3.0837027217697059E-3</v>
      </c>
      <c r="E41" s="183">
        <f t="shared" ref="E41:K41" si="14">(E61+E62)/E$66</f>
        <v>4.4103973336346502E-3</v>
      </c>
      <c r="F41" s="183">
        <f t="shared" si="14"/>
        <v>2.1026452599922736E-3</v>
      </c>
      <c r="G41" s="183">
        <f t="shared" si="14"/>
        <v>-3.0464663574476308E-3</v>
      </c>
      <c r="H41" s="183">
        <f t="shared" si="14"/>
        <v>-6.280833616989002E-4</v>
      </c>
      <c r="I41" s="183">
        <f t="shared" si="14"/>
        <v>-1.0795418139686827E-3</v>
      </c>
      <c r="J41" s="183">
        <f t="shared" si="14"/>
        <v>-3.5744047464267693E-4</v>
      </c>
      <c r="K41" s="184">
        <f t="shared" si="14"/>
        <v>-9.1214635753829288E-4</v>
      </c>
      <c r="L41" s="180"/>
      <c r="M41" s="530">
        <f>(AVERAGE(D61:INDEX(D61:K61,0,MATCH('RFPR cover'!$C$7,$D$6:$K$6,0)))+AVERAGE(D62:INDEX(D62:K62,0,MATCH('RFPR cover'!$C$7,$D$6:$K$6,0))))/AVERAGE($D$66:INDEX($D$66:$K$66,0,MATCH('RFPR cover'!$C$7,$D$6:$K$6,0)))</f>
        <v>-5.0452091684070356E-4</v>
      </c>
      <c r="N41" s="531">
        <f>(AVERAGE(D61:K61)+AVERAGE(D62:K62))/AVERAGE($D$66:$K$66)</f>
        <v>-5.4552138800162213E-4</v>
      </c>
    </row>
    <row r="42" spans="2:15">
      <c r="B42" s="259" t="str">
        <f>B63</f>
        <v>RoRE - including financing and tax</v>
      </c>
      <c r="C42" s="260" t="s">
        <v>7</v>
      </c>
      <c r="D42" s="198">
        <f>SUM(D39:D41)</f>
        <v>0.11769551297403297</v>
      </c>
      <c r="E42" s="199">
        <f t="shared" ref="E42:K42" si="15">SUM(E39:E41)</f>
        <v>0.13398451116683283</v>
      </c>
      <c r="F42" s="199">
        <f t="shared" si="15"/>
        <v>0.14575390601707883</v>
      </c>
      <c r="G42" s="199">
        <f t="shared" si="15"/>
        <v>0.11156054657965174</v>
      </c>
      <c r="H42" s="199">
        <f t="shared" si="15"/>
        <v>0.12070417717706777</v>
      </c>
      <c r="I42" s="199">
        <f t="shared" si="15"/>
        <v>0.11084286753008692</v>
      </c>
      <c r="J42" s="199">
        <f t="shared" si="15"/>
        <v>0.10299245513795574</v>
      </c>
      <c r="K42" s="200">
        <f t="shared" si="15"/>
        <v>8.9409156032573961E-2</v>
      </c>
      <c r="L42" s="181"/>
      <c r="M42" s="198">
        <f>SUM(M39:M41)</f>
        <v>0.12156378570369718</v>
      </c>
      <c r="N42" s="200">
        <f>SUM(N39:N41)</f>
        <v>0.11388680989869694</v>
      </c>
    </row>
    <row r="43" spans="2:15" s="32" customFormat="1">
      <c r="B43" s="493"/>
      <c r="C43" s="494"/>
      <c r="D43" s="495"/>
      <c r="E43" s="495"/>
      <c r="F43" s="495"/>
      <c r="G43" s="495"/>
      <c r="H43" s="495"/>
      <c r="I43" s="495"/>
      <c r="J43" s="495"/>
      <c r="K43" s="495"/>
      <c r="L43" s="496"/>
      <c r="M43" s="495"/>
      <c r="N43" s="495"/>
    </row>
    <row r="44" spans="2:15" s="32" customFormat="1">
      <c r="B44" s="493"/>
      <c r="C44" s="494"/>
      <c r="D44" s="495"/>
      <c r="E44" s="495"/>
      <c r="F44" s="495"/>
      <c r="G44" s="495"/>
      <c r="H44" s="495"/>
      <c r="I44" s="495"/>
      <c r="J44" s="495"/>
      <c r="K44" s="495"/>
      <c r="L44" s="496"/>
      <c r="M44" s="495"/>
      <c r="N44" s="495"/>
    </row>
    <row r="45" spans="2:15" s="32" customFormat="1">
      <c r="B45" s="548" t="s">
        <v>381</v>
      </c>
      <c r="C45" s="549"/>
      <c r="D45" s="550"/>
      <c r="E45" s="550"/>
      <c r="F45" s="550"/>
      <c r="G45" s="550"/>
      <c r="H45" s="550"/>
      <c r="I45" s="550"/>
      <c r="J45" s="550"/>
      <c r="K45" s="550"/>
      <c r="L45" s="551"/>
      <c r="M45" s="550"/>
      <c r="N45" s="550"/>
      <c r="O45" s="223"/>
    </row>
    <row r="46" spans="2:15" s="32" customFormat="1">
      <c r="B46" s="553" t="str">
        <f>"Input values provided in "&amp;'RFPR cover'!C14&amp;" prices"</f>
        <v>Input values provided in £m 09/10 prices</v>
      </c>
      <c r="C46" s="552"/>
      <c r="D46" s="552"/>
      <c r="E46" s="552"/>
      <c r="F46" s="552"/>
      <c r="G46" s="552"/>
      <c r="H46" s="552"/>
      <c r="I46" s="552"/>
      <c r="J46" s="552"/>
      <c r="K46" s="552"/>
      <c r="L46" s="552"/>
      <c r="M46" s="552"/>
      <c r="N46" s="552"/>
      <c r="O46" s="552"/>
    </row>
    <row r="48" spans="2:15">
      <c r="B48" s="253" t="s">
        <v>228</v>
      </c>
      <c r="C48" s="357" t="str">
        <f>'RFPR cover'!$C$14</f>
        <v>£m 09/10</v>
      </c>
      <c r="D48" s="185">
        <f>'R9 - RAV'!D50</f>
        <v>34.938791843051405</v>
      </c>
      <c r="E48" s="186">
        <f>'R9 - RAV'!E50</f>
        <v>38.337625916203599</v>
      </c>
      <c r="F48" s="186">
        <f>'R9 - RAV'!F50</f>
        <v>43.138818538125925</v>
      </c>
      <c r="G48" s="186">
        <f>'R9 - RAV'!G50</f>
        <v>49.149480755789483</v>
      </c>
      <c r="H48" s="186">
        <f>'R9 - RAV'!H50</f>
        <v>53.425073439661581</v>
      </c>
      <c r="I48" s="186">
        <f>'R9 - RAV'!I50</f>
        <v>54.953450474517737</v>
      </c>
      <c r="J48" s="186">
        <f>'R9 - RAV'!J50</f>
        <v>56.471047251017993</v>
      </c>
      <c r="K48" s="187">
        <f>'R9 - RAV'!K50</f>
        <v>58.000126939550164</v>
      </c>
      <c r="M48" s="95">
        <f>SUM(D48:INDEX(D48:K48,0,MATCH('RFPR cover'!$C$7,$D$6:$K$6,0)))</f>
        <v>273.94324096734971</v>
      </c>
      <c r="N48" s="95">
        <f>SUM(D48:K48)</f>
        <v>388.41441515791786</v>
      </c>
    </row>
    <row r="49" spans="2:14">
      <c r="B49" s="253" t="s">
        <v>102</v>
      </c>
      <c r="C49" s="357" t="str">
        <f>'RFPR cover'!$C$14</f>
        <v>£m 09/10</v>
      </c>
      <c r="D49" s="257">
        <f>'R4 - Totex'!D37+'R4 - Totex'!D65</f>
        <v>11.572693345940586</v>
      </c>
      <c r="E49" s="257">
        <f>'R4 - Totex'!E37+'R4 - Totex'!E65</f>
        <v>14.622007227992761</v>
      </c>
      <c r="F49" s="257">
        <f>'R4 - Totex'!F37+'R4 - Totex'!F65</f>
        <v>3.2629155394451184</v>
      </c>
      <c r="G49" s="257">
        <f>'R4 - Totex'!G37+'R4 - Totex'!G65</f>
        <v>0.83238737773856997</v>
      </c>
      <c r="H49" s="257">
        <f>'R4 - Totex'!H37+'R4 - Totex'!H65</f>
        <v>-0.25285644494125759</v>
      </c>
      <c r="I49" s="257">
        <f>'R4 - Totex'!I37+'R4 - Totex'!I65</f>
        <v>4.0827086287123393E-2</v>
      </c>
      <c r="J49" s="257">
        <f>'R4 - Totex'!J37+'R4 - Totex'!J65</f>
        <v>4.094089635661291E-2</v>
      </c>
      <c r="K49" s="257">
        <f>'R4 - Totex'!K37+'R4 - Totex'!K65</f>
        <v>-2.1055471248292292</v>
      </c>
      <c r="M49" s="95">
        <f>SUM(D49:INDEX(D49:K49,0,MATCH('RFPR cover'!$C$7,$D$6:$K$6,0)))</f>
        <v>30.077974132462899</v>
      </c>
      <c r="N49" s="95">
        <f>SUM(D49:K49)</f>
        <v>28.013367903990282</v>
      </c>
    </row>
    <row r="50" spans="2:14">
      <c r="B50" s="255" t="s">
        <v>110</v>
      </c>
      <c r="C50" s="357" t="str">
        <f>'RFPR cover'!$C$14</f>
        <v>£m 09/10</v>
      </c>
      <c r="D50" s="248">
        <f>'R4 - Totex'!D81</f>
        <v>8.4336183423106252</v>
      </c>
      <c r="E50" s="188">
        <f>'R4 - Totex'!E81</f>
        <v>1.059602004567598</v>
      </c>
      <c r="F50" s="188">
        <f>'R4 - Totex'!F81</f>
        <v>17.752143531535417</v>
      </c>
      <c r="G50" s="188">
        <f>'R4 - Totex'!G81</f>
        <v>5.6390786603157661</v>
      </c>
      <c r="H50" s="188">
        <f>'R4 - Totex'!H81</f>
        <v>5.5906763511320721</v>
      </c>
      <c r="I50" s="188">
        <f>'R4 - Totex'!I81</f>
        <v>5.6234442849319883</v>
      </c>
      <c r="J50" s="188">
        <f>'R4 - Totex'!J81</f>
        <v>5.733590652324108</v>
      </c>
      <c r="K50" s="189">
        <f>'R4 - Totex'!K81</f>
        <v>4.3731475335242287</v>
      </c>
      <c r="M50" s="95">
        <f>SUM(D50:INDEX(D50:K50,0,MATCH('RFPR cover'!$C$7,$D$6:$K$6,0)))</f>
        <v>44.098563174793469</v>
      </c>
      <c r="N50" s="95">
        <f t="shared" ref="N50:N57" si="16">SUM(D50:K50)</f>
        <v>54.205301360641812</v>
      </c>
    </row>
    <row r="51" spans="2:14">
      <c r="B51" s="256" t="str">
        <f>'R5 - Output Incentives'!B39</f>
        <v>Network Reliability Incentive</v>
      </c>
      <c r="C51" s="357" t="str">
        <f>'RFPR cover'!$C$14</f>
        <v>£m 09/10</v>
      </c>
      <c r="D51" s="248">
        <f>'R5 - Output Incentives'!D39</f>
        <v>1.5199584415584417</v>
      </c>
      <c r="E51" s="188">
        <f>'R5 - Output Incentives'!E39</f>
        <v>1.8001012658227844</v>
      </c>
      <c r="F51" s="188">
        <f>'R5 - Output Incentives'!F39</f>
        <v>1.7100720000000003</v>
      </c>
      <c r="G51" s="188">
        <f>'R5 - Output Incentives'!G39</f>
        <v>1.7389428839999996</v>
      </c>
      <c r="H51" s="188">
        <f>'R5 - Output Incentives'!H39</f>
        <v>1.7756800000000001</v>
      </c>
      <c r="I51" s="188">
        <f>'R5 - Output Incentives'!I39</f>
        <v>1.5211314361947688</v>
      </c>
      <c r="J51" s="188">
        <f>'R5 - Output Incentives'!J39</f>
        <v>0.83</v>
      </c>
      <c r="K51" s="189">
        <f>'R5 - Output Incentives'!K39</f>
        <v>0.83</v>
      </c>
      <c r="M51" s="95">
        <f>SUM(D51:INDEX(D51:K51,0,MATCH('RFPR cover'!$C$7,$D$6:$K$6,0)))</f>
        <v>10.065886027575996</v>
      </c>
      <c r="N51" s="95">
        <f t="shared" si="16"/>
        <v>11.725886027575996</v>
      </c>
    </row>
    <row r="52" spans="2:14">
      <c r="B52" s="256" t="str">
        <f>'R5 - Output Incentives'!B40</f>
        <v>Stakeholder Satisfaction Output</v>
      </c>
      <c r="C52" s="357" t="str">
        <f>'RFPR cover'!$C$14</f>
        <v>£m 09/10</v>
      </c>
      <c r="D52" s="248">
        <f>'R5 - Output Incentives'!D40</f>
        <v>0.27590971513519763</v>
      </c>
      <c r="E52" s="188">
        <f>'R5 - Output Incentives'!E40</f>
        <v>0.43413610460491664</v>
      </c>
      <c r="F52" s="188">
        <f>'R5 - Output Incentives'!F40</f>
        <v>0.61465527196124703</v>
      </c>
      <c r="G52" s="188">
        <f>'R5 - Output Incentives'!G40</f>
        <v>1.2996220224763186</v>
      </c>
      <c r="H52" s="188">
        <f>'R5 - Output Incentives'!H40</f>
        <v>1.7518322344130821</v>
      </c>
      <c r="I52" s="188">
        <f>'R5 - Output Incentives'!I40</f>
        <v>1.2368030793034726</v>
      </c>
      <c r="J52" s="188">
        <f>'R5 - Output Incentives'!J40</f>
        <v>0.83</v>
      </c>
      <c r="K52" s="189">
        <f>'R5 - Output Incentives'!K40</f>
        <v>0.83</v>
      </c>
      <c r="M52" s="95">
        <f>SUM(D52:INDEX(D52:K52,0,MATCH('RFPR cover'!$C$7,$D$6:$K$6,0)))</f>
        <v>5.6129584278942346</v>
      </c>
      <c r="N52" s="95">
        <f t="shared" si="16"/>
        <v>7.2729584278942347</v>
      </c>
    </row>
    <row r="53" spans="2:14">
      <c r="B53" s="256" t="str">
        <f>'R5 - Output Incentives'!B41</f>
        <v>SF6 Emissions</v>
      </c>
      <c r="C53" s="357" t="str">
        <f>'RFPR cover'!$C$14</f>
        <v>£m 09/10</v>
      </c>
      <c r="D53" s="248">
        <f>'R5 - Output Incentives'!D41</f>
        <v>-9.6984958441558453E-2</v>
      </c>
      <c r="E53" s="188">
        <f>'R5 - Output Incentives'!E41</f>
        <v>5.9970497164556991E-2</v>
      </c>
      <c r="F53" s="188">
        <f>'R5 - Output Incentives'!F41</f>
        <v>0.11190876488999996</v>
      </c>
      <c r="G53" s="188">
        <f>'R5 - Output Incentives'!G41</f>
        <v>0.20483934883607816</v>
      </c>
      <c r="H53" s="188">
        <f>'R5 - Output Incentives'!H41</f>
        <v>0.20819507490000003</v>
      </c>
      <c r="I53" s="188">
        <f>'R5 - Output Incentives'!I41</f>
        <v>5.3889720737654363E-2</v>
      </c>
      <c r="J53" s="188">
        <f>'R5 - Output Incentives'!J41</f>
        <v>4.1500000000000002E-2</v>
      </c>
      <c r="K53" s="189">
        <f>'R5 - Output Incentives'!K41</f>
        <v>4.1500000000000002E-2</v>
      </c>
      <c r="M53" s="95">
        <f>SUM(D53:INDEX(D53:K53,0,MATCH('RFPR cover'!$C$7,$D$6:$K$6,0)))</f>
        <v>0.54181844808673107</v>
      </c>
      <c r="N53" s="95">
        <f t="shared" si="16"/>
        <v>0.62481844808673104</v>
      </c>
    </row>
    <row r="54" spans="2:14">
      <c r="B54" s="256" t="str">
        <f>'R5 - Output Incentives'!B42</f>
        <v>Environmental Discretionary Reward</v>
      </c>
      <c r="C54" s="357" t="str">
        <f>'RFPR cover'!$C$14</f>
        <v>£m 09/10</v>
      </c>
      <c r="D54" s="248">
        <f>'R5 - Output Incentives'!D42</f>
        <v>0</v>
      </c>
      <c r="E54" s="188">
        <f>'R5 - Output Incentives'!E42</f>
        <v>0</v>
      </c>
      <c r="F54" s="188">
        <f>'R5 - Output Incentives'!F42</f>
        <v>2.6946652122127874</v>
      </c>
      <c r="G54" s="188">
        <f>'R5 - Output Incentives'!G42</f>
        <v>2.6381365475184153</v>
      </c>
      <c r="H54" s="188">
        <f>'R5 - Output Incentives'!H42</f>
        <v>0</v>
      </c>
      <c r="I54" s="188">
        <f>'R5 - Output Incentives'!I42</f>
        <v>0</v>
      </c>
      <c r="J54" s="188">
        <f>'R5 - Output Incentives'!J42</f>
        <v>0.41499999999999998</v>
      </c>
      <c r="K54" s="189">
        <f>'R5 - Output Incentives'!K42</f>
        <v>0.41499999999999998</v>
      </c>
      <c r="M54" s="95">
        <f>SUM(D54:INDEX(D54:K54,0,MATCH('RFPR cover'!$C$7,$D$6:$K$6,0)))</f>
        <v>5.3328017597312023</v>
      </c>
      <c r="N54" s="95">
        <f t="shared" si="16"/>
        <v>6.1628017597312024</v>
      </c>
    </row>
    <row r="55" spans="2:14">
      <c r="B55" s="256" t="str">
        <f>'R5 - Output Incentives'!B43</f>
        <v xml:space="preserve">Performance re offers of timely connection </v>
      </c>
      <c r="C55" s="357" t="str">
        <f>'RFPR cover'!$C$14</f>
        <v>£m 09/10</v>
      </c>
      <c r="D55" s="248">
        <f>'R5 - Output Incentives'!D43</f>
        <v>-3.7549009222116486E-2</v>
      </c>
      <c r="E55" s="188">
        <f>'R5 - Output Incentives'!E43</f>
        <v>-2.5329906506849204E-2</v>
      </c>
      <c r="F55" s="188">
        <f>'R5 - Output Incentives'!F43</f>
        <v>0</v>
      </c>
      <c r="G55" s="188">
        <f>'R5 - Output Incentives'!G43</f>
        <v>0</v>
      </c>
      <c r="H55" s="188">
        <f>'R5 - Output Incentives'!H43</f>
        <v>-1.8870204946870851E-2</v>
      </c>
      <c r="I55" s="188">
        <f>'R5 - Output Incentives'!I43</f>
        <v>0</v>
      </c>
      <c r="J55" s="188">
        <f>'R5 - Output Incentives'!J43</f>
        <v>-4.1500000000000002E-2</v>
      </c>
      <c r="K55" s="189">
        <f>'R5 - Output Incentives'!K43</f>
        <v>-4.1500000000000002E-2</v>
      </c>
      <c r="M55" s="95">
        <f>SUM(D55:INDEX(D55:K55,0,MATCH('RFPR cover'!$C$7,$D$6:$K$6,0)))</f>
        <v>-8.1749120675836534E-2</v>
      </c>
      <c r="N55" s="95">
        <f t="shared" si="16"/>
        <v>-0.16474912067583655</v>
      </c>
    </row>
    <row r="56" spans="2:14">
      <c r="B56" s="253" t="s">
        <v>487</v>
      </c>
      <c r="C56" s="357" t="str">
        <f>'RFPR cover'!$C$14</f>
        <v>£m 09/10</v>
      </c>
      <c r="D56" s="248">
        <f>-'R6 - Innovation'!D28</f>
        <v>-5.6141779186677947E-2</v>
      </c>
      <c r="E56" s="188">
        <f>-'R6 - Innovation'!E28</f>
        <v>-0.68679555686551064</v>
      </c>
      <c r="F56" s="188">
        <f>-'R6 - Innovation'!F28</f>
        <v>-0.86248246754649571</v>
      </c>
      <c r="G56" s="188">
        <f>-'R6 - Innovation'!G28</f>
        <v>-1.5344147922485583</v>
      </c>
      <c r="H56" s="188">
        <f>-'R6 - Innovation'!H28</f>
        <v>-0.10283485198102957</v>
      </c>
      <c r="I56" s="188">
        <f>-'R6 - Innovation'!I28</f>
        <v>0.46261282882515914</v>
      </c>
      <c r="J56" s="188">
        <f>-'R6 - Innovation'!J28</f>
        <v>-9.6161170640234467E-2</v>
      </c>
      <c r="K56" s="189">
        <f>-'R6 - Innovation'!K28</f>
        <v>-9.356474885938651E-2</v>
      </c>
      <c r="M56" s="95">
        <f>SUM(D56:INDEX(D56:K56,0,MATCH('RFPR cover'!$C$7,$D$6:$K$6,0)))</f>
        <v>-2.7800566190031128</v>
      </c>
      <c r="N56" s="95">
        <f t="shared" si="16"/>
        <v>-2.9697825385027339</v>
      </c>
    </row>
    <row r="57" spans="2:14">
      <c r="B57" s="253" t="s">
        <v>35</v>
      </c>
      <c r="C57" s="357" t="str">
        <f>'RFPR cover'!$C$14</f>
        <v>£m 09/10</v>
      </c>
      <c r="D57" s="249">
        <f>-'R13 - Other Activities '!D8</f>
        <v>0</v>
      </c>
      <c r="E57" s="249">
        <f>-'R13 - Other Activities '!E8</f>
        <v>0</v>
      </c>
      <c r="F57" s="249">
        <f>-'R13 - Other Activities '!F8</f>
        <v>0</v>
      </c>
      <c r="G57" s="249">
        <f>-'R13 - Other Activities '!G8</f>
        <v>0</v>
      </c>
      <c r="H57" s="249">
        <f>-'R13 - Other Activities '!H8</f>
        <v>0</v>
      </c>
      <c r="I57" s="249">
        <f>-'R13 - Other Activities '!I8</f>
        <v>0</v>
      </c>
      <c r="J57" s="249">
        <f>-'R13 - Other Activities '!J8</f>
        <v>0</v>
      </c>
      <c r="K57" s="249">
        <f>-'R13 - Other Activities '!K8</f>
        <v>0</v>
      </c>
      <c r="M57" s="95">
        <f>SUM(D57:INDEX(D57:K57,0,MATCH('RFPR cover'!$C$7,$D$6:$K$6,0)))</f>
        <v>0</v>
      </c>
      <c r="N57" s="95">
        <f t="shared" si="16"/>
        <v>0</v>
      </c>
    </row>
    <row r="58" spans="2:14">
      <c r="B58" s="254" t="s">
        <v>103</v>
      </c>
      <c r="C58" s="357" t="str">
        <f>'RFPR cover'!$C$14</f>
        <v>£m 09/10</v>
      </c>
      <c r="D58" s="250">
        <f t="shared" ref="D58:K58" si="17">SUM(D48:D57)</f>
        <v>56.550295941145905</v>
      </c>
      <c r="E58" s="149">
        <f t="shared" si="17"/>
        <v>55.601317552983858</v>
      </c>
      <c r="F58" s="149">
        <f t="shared" si="17"/>
        <v>68.422696390623983</v>
      </c>
      <c r="G58" s="149">
        <f t="shared" si="17"/>
        <v>59.968072804426072</v>
      </c>
      <c r="H58" s="149">
        <f t="shared" si="17"/>
        <v>62.376895598237574</v>
      </c>
      <c r="I58" s="149">
        <f t="shared" si="17"/>
        <v>63.89215891079791</v>
      </c>
      <c r="J58" s="149">
        <f t="shared" si="17"/>
        <v>64.224417629058493</v>
      </c>
      <c r="K58" s="150">
        <f t="shared" si="17"/>
        <v>62.24916259938577</v>
      </c>
      <c r="M58" s="148">
        <f>SUM(M48:M57)</f>
        <v>366.81143719821523</v>
      </c>
      <c r="N58" s="150">
        <f>SUM(N48:N57)</f>
        <v>493.28501742665958</v>
      </c>
    </row>
    <row r="59" spans="2:14">
      <c r="B59" s="253" t="s">
        <v>426</v>
      </c>
      <c r="C59" s="357" t="str">
        <f>'RFPR cover'!$C$14</f>
        <v>£m 09/10</v>
      </c>
      <c r="D59" s="248">
        <f>'R7 - Financing'!D87+'R10 - Tax'!D88</f>
        <v>13.296369204119078</v>
      </c>
      <c r="E59" s="248">
        <f>'R7 - Financing'!E87+'R10 - Tax'!E88</f>
        <v>8.5403076300549223</v>
      </c>
      <c r="F59" s="248">
        <f>'R7 - Financing'!F87+'R10 - Tax'!F88</f>
        <v>1.9396676361686787</v>
      </c>
      <c r="G59" s="248">
        <f>'R7 - Financing'!G87+'R10 - Tax'!G88</f>
        <v>11.88880577613379</v>
      </c>
      <c r="H59" s="248">
        <f>'R7 - Financing'!H87+'R10 - Tax'!H88</f>
        <v>28.917186422550408</v>
      </c>
      <c r="I59" s="248">
        <f>'R7 - Financing'!I87+'R10 - Tax'!I88</f>
        <v>21.953180101666941</v>
      </c>
      <c r="J59" s="248">
        <f>'R7 - Financing'!J87+'R10 - Tax'!J88</f>
        <v>15.838051169503693</v>
      </c>
      <c r="K59" s="248">
        <f>'R7 - Financing'!K87+'R10 - Tax'!K88</f>
        <v>10.817357430112983</v>
      </c>
      <c r="M59" s="95">
        <f>SUM(D59:INDEX(D59:K59,0,MATCH('RFPR cover'!$C$7,$D$6:$K$6,0)))</f>
        <v>86.535516770693832</v>
      </c>
      <c r="N59" s="95">
        <f t="shared" ref="N59:N60" si="18">SUM(D59:K59)</f>
        <v>113.1909253703105</v>
      </c>
    </row>
    <row r="60" spans="2:14">
      <c r="B60" s="253" t="s">
        <v>421</v>
      </c>
      <c r="C60" s="357" t="str">
        <f>'RFPR cover'!$C$14</f>
        <v>£m 09/10</v>
      </c>
      <c r="D60" s="248">
        <f>'R7 - Financing'!D89+'R10 - Tax'!D89</f>
        <v>0.62450954474277509</v>
      </c>
      <c r="E60" s="248">
        <f>'R7 - Financing'!E89+'R10 - Tax'!E89</f>
        <v>-0.85591225690389727</v>
      </c>
      <c r="F60" s="248">
        <f>'R7 - Financing'!F89+'R10 - Tax'!F89</f>
        <v>-3.4494458975513922</v>
      </c>
      <c r="G60" s="248">
        <f>'R7 - Financing'!G89+'R10 - Tax'!G89</f>
        <v>-0.81849954759810828</v>
      </c>
      <c r="H60" s="248">
        <f>'R7 - Financing'!H89+'R10 - Tax'!H89</f>
        <v>8.8487450958538716E-2</v>
      </c>
      <c r="I60" s="248">
        <f>'R7 - Financing'!I89+'R10 - Tax'!I89</f>
        <v>6.5964512930300145E-2</v>
      </c>
      <c r="J60" s="248">
        <f>'R7 - Financing'!J89+'R10 - Tax'!J89</f>
        <v>8.4057365196983369E-3</v>
      </c>
      <c r="K60" s="248">
        <f>'R7 - Financing'!K89+'R10 - Tax'!K89</f>
        <v>-1.4199667430871088E-2</v>
      </c>
      <c r="M60" s="95">
        <f>SUM(D60:INDEX(D60:K60,0,MATCH('RFPR cover'!$C$7,$D$6:$K$6,0)))</f>
        <v>-4.3448961934217838</v>
      </c>
      <c r="N60" s="95">
        <f t="shared" si="18"/>
        <v>-4.3506901243329565</v>
      </c>
    </row>
    <row r="61" spans="2:14">
      <c r="B61" s="253" t="s">
        <v>427</v>
      </c>
      <c r="C61" s="357" t="str">
        <f>'RFPR cover'!$C$14</f>
        <v>£m 09/10</v>
      </c>
      <c r="D61" s="248">
        <f>'R10 - Tax'!D81-'R10 - Tax'!D88</f>
        <v>-1.6556140413226927</v>
      </c>
      <c r="E61" s="248">
        <f>'R10 - Tax'!E81-'R10 - Tax'!E88</f>
        <v>1.9743548832013396</v>
      </c>
      <c r="F61" s="248">
        <f>'R10 - Tax'!F81-'R10 - Tax'!F88</f>
        <v>0.28952533725204255</v>
      </c>
      <c r="G61" s="248">
        <f>'R10 - Tax'!G81-'R10 - Tax'!G88</f>
        <v>-2.0520314022033057</v>
      </c>
      <c r="H61" s="248">
        <f>'R10 - Tax'!H81-'R10 - Tax'!H88</f>
        <v>-0.45623446330277151</v>
      </c>
      <c r="I61" s="248">
        <f>'R10 - Tax'!I81-'R10 - Tax'!I88</f>
        <v>-0.81611977987302708</v>
      </c>
      <c r="J61" s="248">
        <f>'R10 - Tax'!J81-'R10 - Tax'!J88</f>
        <v>-0.27533179546774811</v>
      </c>
      <c r="K61" s="248">
        <f>'R10 - Tax'!K81-'R10 - Tax'!K88</f>
        <v>-0.74016247193525686</v>
      </c>
      <c r="M61" s="95">
        <f>SUM(D61:INDEX(D61:K61,0,MATCH('RFPR cover'!$C$7,$D$6:$K$6,0)))</f>
        <v>-2.7161194662484149</v>
      </c>
      <c r="N61" s="95">
        <f>SUM(D61:K61)</f>
        <v>-3.7316137336514199</v>
      </c>
    </row>
    <row r="62" spans="2:14">
      <c r="B62" s="253" t="s">
        <v>422</v>
      </c>
      <c r="C62" s="357" t="str">
        <f>'RFPR cover'!$C$14</f>
        <v>£m 09/10</v>
      </c>
      <c r="D62" s="248">
        <f>'R10 - Tax'!D83-'R10 - Tax'!D89</f>
        <v>-0.14363719529083774</v>
      </c>
      <c r="E62" s="248">
        <f>'R10 - Tax'!E83-'R10 - Tax'!E89</f>
        <v>0.17974157394981916</v>
      </c>
      <c r="F62" s="248">
        <f>'R10 - Tax'!F83-'R10 - Tax'!F89</f>
        <v>0.6898891795102795</v>
      </c>
      <c r="G62" s="248">
        <f>'R10 - Tax'!G83-'R10 - Tax'!G89</f>
        <v>0.16369990951962166</v>
      </c>
      <c r="H62" s="248">
        <f>'R10 - Tax'!H83-'R10 - Tax'!H89</f>
        <v>-1.6812615682123777E-2</v>
      </c>
      <c r="I62" s="248">
        <f>'R10 - Tax'!I83-'R10 - Tax'!I89</f>
        <v>-1.2533257456757596E-2</v>
      </c>
      <c r="J62" s="248">
        <f>'R10 - Tax'!J83-'R10 - Tax'!J89</f>
        <v>-1.5970899387411919E-3</v>
      </c>
      <c r="K62" s="248">
        <f>'R10 - Tax'!K83-'R10 - Tax'!K89</f>
        <v>2.4139434632477474E-3</v>
      </c>
      <c r="M62" s="95">
        <f>SUM(D62:INDEX(D62:K62,0,MATCH('RFPR cover'!$C$7,$D$6:$K$6,0)))</f>
        <v>0.8603475945500012</v>
      </c>
      <c r="N62" s="95">
        <f>SUM(D62:K62)</f>
        <v>0.86116444807450776</v>
      </c>
    </row>
    <row r="63" spans="2:14">
      <c r="B63" s="254" t="s">
        <v>104</v>
      </c>
      <c r="C63" s="357" t="str">
        <f>'RFPR cover'!$C$14</f>
        <v>£m 09/10</v>
      </c>
      <c r="D63" s="251">
        <f>SUM(D58:D62)</f>
        <v>68.671923453394228</v>
      </c>
      <c r="E63" s="152">
        <f t="shared" ref="E63:K63" si="19">SUM(E58:E62)</f>
        <v>65.439809383286047</v>
      </c>
      <c r="F63" s="152">
        <f t="shared" si="19"/>
        <v>67.892332646003581</v>
      </c>
      <c r="G63" s="152">
        <f t="shared" si="19"/>
        <v>69.150047540278067</v>
      </c>
      <c r="H63" s="152">
        <f t="shared" si="19"/>
        <v>90.909522392761616</v>
      </c>
      <c r="I63" s="152">
        <f t="shared" si="19"/>
        <v>85.082650488065369</v>
      </c>
      <c r="J63" s="152">
        <f t="shared" si="19"/>
        <v>79.793945649675393</v>
      </c>
      <c r="K63" s="153">
        <f t="shared" si="19"/>
        <v>72.314571833595878</v>
      </c>
      <c r="M63" s="151">
        <f>SUM(M58:M62)</f>
        <v>447.14628590378885</v>
      </c>
      <c r="N63" s="153">
        <f>SUM(N58:N62)</f>
        <v>599.25480338706029</v>
      </c>
    </row>
    <row r="64" spans="2:14">
      <c r="B64" s="253"/>
      <c r="D64" s="443"/>
    </row>
    <row r="65" spans="2:11">
      <c r="B65" s="253" t="s">
        <v>232</v>
      </c>
      <c r="C65" s="357" t="str">
        <f>'RFPR cover'!$C$14</f>
        <v>£m 09/10</v>
      </c>
      <c r="D65" s="247">
        <f>'R9 - RAV'!D46</f>
        <v>499.12559775787713</v>
      </c>
      <c r="E65" s="186">
        <f>'R9 - RAV'!E46</f>
        <v>547.68037023147997</v>
      </c>
      <c r="F65" s="186">
        <f>'R9 - RAV'!F46</f>
        <v>616.26883625894175</v>
      </c>
      <c r="G65" s="186">
        <f>'R9 - RAV'!G46</f>
        <v>702.13543936842109</v>
      </c>
      <c r="H65" s="186">
        <f>'R9 - RAV'!H46</f>
        <v>763.21533485230827</v>
      </c>
      <c r="I65" s="186">
        <f>'R9 - RAV'!I46</f>
        <v>785.04929249311044</v>
      </c>
      <c r="J65" s="186">
        <f>'R9 - RAV'!J46</f>
        <v>806.72924644311411</v>
      </c>
      <c r="K65" s="187">
        <f>'R9 - RAV'!K46</f>
        <v>828.57324199357367</v>
      </c>
    </row>
    <row r="66" spans="2:11">
      <c r="B66" s="253" t="s">
        <v>107</v>
      </c>
      <c r="C66" s="357" t="str">
        <f>'RFPR cover'!$C$14</f>
        <v>£m 09/10</v>
      </c>
      <c r="D66" s="252">
        <f>'R8 - Net Debt'!D62</f>
        <v>583.47104080803172</v>
      </c>
      <c r="E66" s="190">
        <f>'R8 - Net Debt'!E62</f>
        <v>488.4132413022179</v>
      </c>
      <c r="F66" s="190">
        <f>'R8 - Net Debt'!F62</f>
        <v>465.80111985505397</v>
      </c>
      <c r="G66" s="190">
        <f>'R8 - Net Debt'!G62</f>
        <v>619.84321214226463</v>
      </c>
      <c r="H66" s="190">
        <f>'R8 - Net Debt'!H62</f>
        <v>753.15970431910841</v>
      </c>
      <c r="I66" s="190">
        <f>'R8 - Net Debt'!I62</f>
        <v>767.59698105943289</v>
      </c>
      <c r="J66" s="190">
        <f>'R8 - Net Debt'!J62</f>
        <v>774.75525311823526</v>
      </c>
      <c r="K66" s="191">
        <f>'R8 - Net Debt'!K62</f>
        <v>808.80499316255577</v>
      </c>
    </row>
  </sheetData>
  <conditionalFormatting sqref="D5:K6">
    <cfRule type="expression" dxfId="5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4.375" style="221" customWidth="1"/>
    <col min="3" max="3" width="13.375" style="142" customWidth="1"/>
    <col min="4" max="11" width="11.125" customWidth="1"/>
    <col min="12" max="12" width="5" style="43" customWidth="1"/>
  </cols>
  <sheetData>
    <row r="1" spans="1:12" s="32" customFormat="1" ht="20.25">
      <c r="A1" s="264" t="s">
        <v>119</v>
      </c>
      <c r="B1" s="795"/>
      <c r="C1" s="285"/>
      <c r="D1" s="284"/>
      <c r="E1" s="284"/>
      <c r="F1" s="284"/>
      <c r="G1" s="284"/>
      <c r="H1" s="284"/>
      <c r="I1" s="284"/>
      <c r="J1" s="284"/>
      <c r="K1" s="284"/>
      <c r="L1" s="286"/>
    </row>
    <row r="2" spans="1:12" s="32" customFormat="1" ht="20.25">
      <c r="A2" s="124" t="str">
        <f>'RFPR cover'!C5</f>
        <v>SPT</v>
      </c>
      <c r="B2" s="411"/>
      <c r="C2" s="140"/>
      <c r="D2" s="30"/>
      <c r="E2" s="30"/>
      <c r="F2" s="30"/>
      <c r="G2" s="30"/>
      <c r="H2" s="30"/>
      <c r="I2" s="27"/>
      <c r="J2" s="27"/>
      <c r="K2" s="27"/>
      <c r="L2" s="125"/>
    </row>
    <row r="3" spans="1:12" s="32" customFormat="1" ht="20.25">
      <c r="A3" s="269">
        <f>'RFPR cover'!C7</f>
        <v>2019</v>
      </c>
      <c r="B3" s="412"/>
      <c r="C3" s="287"/>
      <c r="D3" s="270"/>
      <c r="E3" s="270"/>
      <c r="F3" s="270"/>
      <c r="G3" s="270"/>
      <c r="H3" s="270"/>
      <c r="I3" s="263"/>
      <c r="J3" s="263"/>
      <c r="K3" s="263"/>
      <c r="L3" s="271"/>
    </row>
    <row r="4" spans="1:12" s="36" customFormat="1" ht="12.75" customHeight="1">
      <c r="B4" s="231"/>
      <c r="C4" s="144"/>
      <c r="L4" s="58"/>
    </row>
    <row r="5" spans="1:12" s="2" customFormat="1" ht="12.75" customHeight="1">
      <c r="B5" s="132"/>
      <c r="C5" s="142"/>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c r="L5" s="55"/>
    </row>
    <row r="6" spans="1:12" s="2" customFormat="1" ht="12.75" customHeight="1">
      <c r="B6" s="132"/>
      <c r="C6" s="142"/>
      <c r="D6" s="90">
        <f>'RFPR cover'!$C$13</f>
        <v>2014</v>
      </c>
      <c r="E6" s="91">
        <f>D6+1</f>
        <v>2015</v>
      </c>
      <c r="F6" s="91">
        <f t="shared" ref="F6:K6" si="0">E6+1</f>
        <v>2016</v>
      </c>
      <c r="G6" s="91">
        <f t="shared" si="0"/>
        <v>2017</v>
      </c>
      <c r="H6" s="91">
        <f t="shared" si="0"/>
        <v>2018</v>
      </c>
      <c r="I6" s="91">
        <f t="shared" si="0"/>
        <v>2019</v>
      </c>
      <c r="J6" s="91">
        <f t="shared" si="0"/>
        <v>2020</v>
      </c>
      <c r="K6" s="91">
        <f t="shared" si="0"/>
        <v>2021</v>
      </c>
      <c r="L6" s="55"/>
    </row>
    <row r="7" spans="1:12" s="2" customFormat="1">
      <c r="B7" s="796"/>
      <c r="C7" s="158"/>
      <c r="D7" s="51"/>
      <c r="E7" s="51"/>
      <c r="F7" s="51"/>
      <c r="G7" s="51"/>
      <c r="H7" s="51"/>
      <c r="I7" s="51"/>
      <c r="J7" s="51"/>
      <c r="K7" s="51"/>
      <c r="L7" s="58"/>
    </row>
    <row r="8" spans="1:12" s="2" customFormat="1">
      <c r="B8" s="797" t="s">
        <v>155</v>
      </c>
      <c r="C8" s="156"/>
      <c r="D8" s="80"/>
      <c r="E8" s="80"/>
      <c r="F8" s="80"/>
      <c r="G8" s="80"/>
      <c r="H8" s="80"/>
      <c r="I8" s="80"/>
      <c r="J8" s="80"/>
      <c r="K8" s="80"/>
      <c r="L8" s="282"/>
    </row>
    <row r="9" spans="1:12" s="36" customFormat="1">
      <c r="A9" s="2"/>
      <c r="B9" s="798"/>
      <c r="C9" s="144"/>
      <c r="L9" s="58"/>
    </row>
    <row r="10" spans="1:12" s="2" customFormat="1">
      <c r="B10" s="799" t="s">
        <v>374</v>
      </c>
      <c r="C10" s="157" t="str">
        <f>'RFPR cover'!$C$14</f>
        <v>£m 09/10</v>
      </c>
      <c r="D10" s="619">
        <v>225.12200000000001</v>
      </c>
      <c r="E10" s="620">
        <v>236.95</v>
      </c>
      <c r="F10" s="620">
        <v>258.63299999999998</v>
      </c>
      <c r="G10" s="620">
        <v>244.655</v>
      </c>
      <c r="H10" s="620">
        <v>249.43899999999999</v>
      </c>
      <c r="I10" s="620">
        <v>253.065</v>
      </c>
      <c r="J10" s="620"/>
      <c r="K10" s="620"/>
      <c r="L10" s="58"/>
    </row>
    <row r="11" spans="1:12" s="2" customFormat="1">
      <c r="B11" s="799" t="s">
        <v>375</v>
      </c>
      <c r="C11" s="157" t="str">
        <f>'RFPR cover'!$C$14</f>
        <v>£m 09/10</v>
      </c>
      <c r="D11" s="621">
        <v>0</v>
      </c>
      <c r="E11" s="622">
        <v>6.2</v>
      </c>
      <c r="F11" s="622">
        <v>-20.3</v>
      </c>
      <c r="G11" s="622">
        <v>-21.8</v>
      </c>
      <c r="H11" s="622">
        <v>-13.5</v>
      </c>
      <c r="I11" s="622">
        <v>-3.7</v>
      </c>
      <c r="J11" s="622"/>
      <c r="K11" s="622"/>
      <c r="L11" s="58"/>
    </row>
    <row r="12" spans="1:12" s="2" customFormat="1">
      <c r="B12" s="799" t="s">
        <v>147</v>
      </c>
      <c r="C12" s="157" t="str">
        <f>'RFPR cover'!$C$14</f>
        <v>£m 09/10</v>
      </c>
      <c r="D12" s="621">
        <v>0</v>
      </c>
      <c r="E12" s="622">
        <v>-6.7868323235976205E-2</v>
      </c>
      <c r="F12" s="622">
        <v>0.92167123080132074</v>
      </c>
      <c r="G12" s="622">
        <v>-3.7205052423316625</v>
      </c>
      <c r="H12" s="622">
        <v>-5.6822456035960691</v>
      </c>
      <c r="I12" s="622">
        <v>-1.0579037384597538</v>
      </c>
      <c r="J12" s="622"/>
      <c r="K12" s="622"/>
      <c r="L12" s="58"/>
    </row>
    <row r="13" spans="1:12" s="2" customFormat="1">
      <c r="B13" s="799" t="s">
        <v>364</v>
      </c>
      <c r="C13" s="158" t="s">
        <v>127</v>
      </c>
      <c r="D13" s="849">
        <v>1.163</v>
      </c>
      <c r="E13" s="850">
        <v>1.2050000000000001</v>
      </c>
      <c r="F13" s="850">
        <v>1.2270000000000001</v>
      </c>
      <c r="G13" s="850">
        <v>1.2330000000000001</v>
      </c>
      <c r="H13" s="850">
        <v>1.2709999999999999</v>
      </c>
      <c r="I13" s="850">
        <v>1.3140000000000001</v>
      </c>
      <c r="J13" s="850"/>
      <c r="K13" s="850"/>
      <c r="L13" s="58"/>
    </row>
    <row r="14" spans="1:12" s="2" customFormat="1">
      <c r="B14" s="800" t="s">
        <v>196</v>
      </c>
      <c r="C14" s="276" t="s">
        <v>128</v>
      </c>
      <c r="D14" s="654">
        <f>SUM(D10:D12)*D13</f>
        <v>261.81688600000001</v>
      </c>
      <c r="E14" s="655">
        <f t="shared" ref="E14:K14" si="1">SUM(E10:E12)*E13</f>
        <v>292.91396867050065</v>
      </c>
      <c r="F14" s="655">
        <f t="shared" si="1"/>
        <v>293.56548160019321</v>
      </c>
      <c r="G14" s="655">
        <f t="shared" si="1"/>
        <v>270.19283203620506</v>
      </c>
      <c r="H14" s="655">
        <f t="shared" si="1"/>
        <v>292.65633483782938</v>
      </c>
      <c r="I14" s="655">
        <f t="shared" si="1"/>
        <v>326.27552448766392</v>
      </c>
      <c r="J14" s="655">
        <f t="shared" si="1"/>
        <v>0</v>
      </c>
      <c r="K14" s="656">
        <f t="shared" si="1"/>
        <v>0</v>
      </c>
      <c r="L14" s="58"/>
    </row>
    <row r="15" spans="1:12" s="2" customFormat="1">
      <c r="B15" s="221" t="s">
        <v>131</v>
      </c>
      <c r="C15" s="158" t="s">
        <v>128</v>
      </c>
      <c r="D15" s="623">
        <f>'R5 - Output Incentives'!D102</f>
        <v>0.50197499999999995</v>
      </c>
      <c r="E15" s="624">
        <f>'R5 - Output Incentives'!E102</f>
        <v>0</v>
      </c>
      <c r="F15" s="625">
        <f>'R5 - Output Incentives'!F102</f>
        <v>2.7437890742375752</v>
      </c>
      <c r="G15" s="625">
        <f>'R5 - Output Incentives'!G102</f>
        <v>3.7513476992397576</v>
      </c>
      <c r="H15" s="625">
        <f>'R5 - Output Incentives'!H102</f>
        <v>8.076077822667024</v>
      </c>
      <c r="I15" s="625">
        <f>'R5 - Output Incentives'!I102</f>
        <v>9.449606935516444</v>
      </c>
      <c r="J15" s="625">
        <f>'R5 - Output Incentives'!J102</f>
        <v>6.3543931984572124</v>
      </c>
      <c r="K15" s="626">
        <f>'R5 - Output Incentives'!K102</f>
        <v>4.8311821505064998</v>
      </c>
      <c r="L15" s="58"/>
    </row>
    <row r="16" spans="1:12" s="2" customFormat="1">
      <c r="B16" s="801" t="s">
        <v>376</v>
      </c>
      <c r="C16" s="158" t="s">
        <v>128</v>
      </c>
      <c r="D16" s="621">
        <v>0</v>
      </c>
      <c r="E16" s="622">
        <v>0</v>
      </c>
      <c r="F16" s="622">
        <v>-20.257989862187202</v>
      </c>
      <c r="G16" s="622">
        <v>-4.4994609182250009</v>
      </c>
      <c r="H16" s="622">
        <v>-4.7015123299745119</v>
      </c>
      <c r="I16" s="622">
        <v>-3.6757294694233145</v>
      </c>
      <c r="J16" s="622"/>
      <c r="K16" s="622"/>
      <c r="L16" s="58"/>
    </row>
    <row r="17" spans="2:12" s="2" customFormat="1">
      <c r="B17" s="801" t="s">
        <v>134</v>
      </c>
      <c r="C17" s="158" t="s">
        <v>128</v>
      </c>
      <c r="D17" s="623">
        <f>'R6 - Innovation'!D12</f>
        <v>0.58950000000000002</v>
      </c>
      <c r="E17" s="624">
        <f>'R6 - Innovation'!E12</f>
        <v>0.72000000000000008</v>
      </c>
      <c r="F17" s="625">
        <f>'R6 - Innovation'!F12</f>
        <v>0.82530000000000003</v>
      </c>
      <c r="G17" s="625">
        <f>'R6 - Innovation'!G12</f>
        <v>1.0809000000000002</v>
      </c>
      <c r="H17" s="625">
        <f>'R6 - Innovation'!H12</f>
        <v>1.1791938127499024</v>
      </c>
      <c r="I17" s="625">
        <f>'R6 - Innovation'!I12</f>
        <v>1.1661897937164472</v>
      </c>
      <c r="J17" s="625">
        <f>'R6 - Innovation'!J12</f>
        <v>1.1661897937164472</v>
      </c>
      <c r="K17" s="626">
        <f>'R6 - Innovation'!K12</f>
        <v>1.1661897937164472</v>
      </c>
      <c r="L17" s="58"/>
    </row>
    <row r="18" spans="2:12" s="2" customFormat="1">
      <c r="B18" s="801" t="s">
        <v>133</v>
      </c>
      <c r="C18" s="158" t="s">
        <v>128</v>
      </c>
      <c r="D18" s="623">
        <f>'R6 - Innovation'!D17</f>
        <v>0</v>
      </c>
      <c r="E18" s="624">
        <f>'R6 - Innovation'!E17</f>
        <v>0</v>
      </c>
      <c r="F18" s="625">
        <f>'R6 - Innovation'!F17</f>
        <v>0</v>
      </c>
      <c r="G18" s="625">
        <f>'R6 - Innovation'!G17</f>
        <v>0</v>
      </c>
      <c r="H18" s="625">
        <f>'R6 - Innovation'!H17</f>
        <v>0</v>
      </c>
      <c r="I18" s="625">
        <f>'R6 - Innovation'!I17</f>
        <v>0</v>
      </c>
      <c r="J18" s="625">
        <f>'R6 - Innovation'!J17</f>
        <v>0</v>
      </c>
      <c r="K18" s="626">
        <f>'R6 - Innovation'!K17</f>
        <v>0</v>
      </c>
      <c r="L18" s="58"/>
    </row>
    <row r="19" spans="2:12" s="2" customFormat="1">
      <c r="B19" s="566" t="s">
        <v>521</v>
      </c>
      <c r="C19" s="158" t="s">
        <v>128</v>
      </c>
      <c r="D19" s="621">
        <v>22.935234575999999</v>
      </c>
      <c r="E19" s="622">
        <v>32.159406320000002</v>
      </c>
      <c r="F19" s="622">
        <v>31.240862952000001</v>
      </c>
      <c r="G19" s="622">
        <v>25.010635608000001</v>
      </c>
      <c r="H19" s="622">
        <v>33.501617912</v>
      </c>
      <c r="I19" s="622">
        <v>33.512823648000001</v>
      </c>
      <c r="J19" s="622"/>
      <c r="K19" s="622"/>
      <c r="L19" s="58"/>
    </row>
    <row r="20" spans="2:12" s="2" customFormat="1">
      <c r="B20" s="566" t="s">
        <v>243</v>
      </c>
      <c r="C20" s="158" t="s">
        <v>128</v>
      </c>
      <c r="D20" s="621"/>
      <c r="E20" s="622"/>
      <c r="F20" s="622"/>
      <c r="G20" s="622"/>
      <c r="H20" s="622"/>
      <c r="I20" s="622"/>
      <c r="J20" s="622"/>
      <c r="K20" s="622"/>
      <c r="L20" s="58"/>
    </row>
    <row r="21" spans="2:12" s="2" customFormat="1">
      <c r="B21" s="566" t="s">
        <v>243</v>
      </c>
      <c r="C21" s="158" t="s">
        <v>128</v>
      </c>
      <c r="D21" s="621"/>
      <c r="E21" s="622"/>
      <c r="F21" s="622"/>
      <c r="G21" s="622"/>
      <c r="H21" s="622"/>
      <c r="I21" s="622"/>
      <c r="J21" s="622"/>
      <c r="K21" s="622"/>
      <c r="L21" s="58"/>
    </row>
    <row r="22" spans="2:12" s="2" customFormat="1">
      <c r="B22" s="566" t="s">
        <v>243</v>
      </c>
      <c r="C22" s="158" t="s">
        <v>128</v>
      </c>
      <c r="D22" s="621"/>
      <c r="E22" s="622"/>
      <c r="F22" s="622"/>
      <c r="G22" s="622"/>
      <c r="H22" s="622"/>
      <c r="I22" s="622"/>
      <c r="J22" s="622"/>
      <c r="K22" s="622"/>
      <c r="L22" s="58"/>
    </row>
    <row r="23" spans="2:12" s="2" customFormat="1">
      <c r="B23" s="566" t="s">
        <v>243</v>
      </c>
      <c r="C23" s="158" t="s">
        <v>128</v>
      </c>
      <c r="D23" s="621"/>
      <c r="E23" s="622"/>
      <c r="F23" s="622"/>
      <c r="G23" s="622"/>
      <c r="H23" s="622"/>
      <c r="I23" s="622"/>
      <c r="J23" s="622"/>
      <c r="K23" s="622"/>
      <c r="L23" s="58"/>
    </row>
    <row r="24" spans="2:12" s="2" customFormat="1">
      <c r="B24" s="566" t="s">
        <v>243</v>
      </c>
      <c r="C24" s="158" t="s">
        <v>128</v>
      </c>
      <c r="D24" s="621"/>
      <c r="E24" s="622"/>
      <c r="F24" s="622"/>
      <c r="G24" s="622"/>
      <c r="H24" s="622"/>
      <c r="I24" s="622"/>
      <c r="J24" s="622"/>
      <c r="K24" s="622"/>
      <c r="L24" s="58"/>
    </row>
    <row r="25" spans="2:12" s="2" customFormat="1">
      <c r="B25" s="801" t="s">
        <v>135</v>
      </c>
      <c r="C25" s="158" t="s">
        <v>128</v>
      </c>
      <c r="D25" s="621">
        <v>11.181499999999987</v>
      </c>
      <c r="E25" s="622">
        <v>0</v>
      </c>
      <c r="F25" s="622">
        <v>4.9042170854649694</v>
      </c>
      <c r="G25" s="622">
        <v>-2.9663083493947635</v>
      </c>
      <c r="H25" s="622">
        <v>3.3533672623614601</v>
      </c>
      <c r="I25" s="622">
        <v>8.3140678279862694</v>
      </c>
      <c r="J25" s="622"/>
      <c r="K25" s="622"/>
      <c r="L25" s="58"/>
    </row>
    <row r="26" spans="2:12" s="2" customFormat="1">
      <c r="B26" s="796" t="s">
        <v>148</v>
      </c>
      <c r="C26" s="158" t="s">
        <v>128</v>
      </c>
      <c r="D26" s="627">
        <f>SUM(D14:D24,-D25)</f>
        <v>274.66209557600001</v>
      </c>
      <c r="E26" s="628">
        <f t="shared" ref="E26:K26" si="2">SUM(E14:E24,-E25)</f>
        <v>325.79337499050069</v>
      </c>
      <c r="F26" s="628">
        <f t="shared" si="2"/>
        <v>303.21322667877865</v>
      </c>
      <c r="G26" s="628">
        <f t="shared" si="2"/>
        <v>298.50256277461455</v>
      </c>
      <c r="H26" s="628">
        <f t="shared" si="2"/>
        <v>327.35834479291037</v>
      </c>
      <c r="I26" s="628">
        <f t="shared" si="2"/>
        <v>358.41434756748725</v>
      </c>
      <c r="J26" s="628">
        <f t="shared" si="2"/>
        <v>7.5205829921736598</v>
      </c>
      <c r="K26" s="629">
        <f t="shared" si="2"/>
        <v>5.9973719442229472</v>
      </c>
      <c r="L26" s="58"/>
    </row>
    <row r="27" spans="2:12" s="2" customFormat="1">
      <c r="B27" s="231"/>
      <c r="C27" s="144"/>
      <c r="D27" s="144"/>
      <c r="E27" s="144"/>
      <c r="F27" s="144"/>
      <c r="G27" s="144"/>
      <c r="H27" s="144"/>
      <c r="I27" s="144"/>
      <c r="J27" s="144"/>
      <c r="K27" s="61"/>
      <c r="L27" s="58"/>
    </row>
    <row r="28" spans="2:12" s="2" customFormat="1">
      <c r="B28" s="231" t="s">
        <v>150</v>
      </c>
      <c r="C28" s="144"/>
      <c r="D28" s="627">
        <f>IF(ISBLANK(D33),0,D33-D26)</f>
        <v>4.6679044239999712</v>
      </c>
      <c r="E28" s="628">
        <f t="shared" ref="E28:K28" si="3">IF(ISBLANK(E33),0,E33-E26)</f>
        <v>-2.8233749905006675</v>
      </c>
      <c r="F28" s="628">
        <f t="shared" si="3"/>
        <v>3.1967733212213716</v>
      </c>
      <c r="G28" s="628">
        <f t="shared" si="3"/>
        <v>7.9374372253854517</v>
      </c>
      <c r="H28" s="628">
        <f t="shared" si="3"/>
        <v>6.3816552070896364</v>
      </c>
      <c r="I28" s="628">
        <f t="shared" si="3"/>
        <v>6.4156524325127293</v>
      </c>
      <c r="J28" s="628">
        <f t="shared" si="3"/>
        <v>0</v>
      </c>
      <c r="K28" s="629">
        <f t="shared" si="3"/>
        <v>0</v>
      </c>
      <c r="L28" s="58"/>
    </row>
    <row r="29" spans="2:12" s="2" customFormat="1">
      <c r="B29" s="231"/>
      <c r="C29" s="144"/>
      <c r="D29" s="36"/>
      <c r="E29" s="36"/>
      <c r="F29" s="36"/>
      <c r="G29" s="36"/>
      <c r="H29" s="36"/>
      <c r="I29" s="36"/>
      <c r="J29" s="36"/>
      <c r="K29" s="36"/>
      <c r="L29" s="58"/>
    </row>
    <row r="30" spans="2:12" s="2" customFormat="1">
      <c r="B30" s="231"/>
      <c r="C30" s="144"/>
      <c r="D30" s="36"/>
      <c r="E30" s="36"/>
      <c r="F30" s="36"/>
      <c r="G30" s="36"/>
      <c r="H30" s="36"/>
      <c r="I30" s="36"/>
      <c r="J30" s="36"/>
      <c r="K30" s="36"/>
      <c r="L30" s="58"/>
    </row>
    <row r="31" spans="2:12" s="2" customFormat="1">
      <c r="B31" s="797" t="s">
        <v>193</v>
      </c>
      <c r="C31" s="156"/>
      <c r="D31" s="80"/>
      <c r="E31" s="80"/>
      <c r="F31" s="80"/>
      <c r="G31" s="80"/>
      <c r="H31" s="80"/>
      <c r="I31" s="80"/>
      <c r="J31" s="80"/>
      <c r="K31" s="80"/>
      <c r="L31" s="283"/>
    </row>
    <row r="32" spans="2:12" s="2" customFormat="1">
      <c r="B32" s="231"/>
      <c r="C32" s="144"/>
      <c r="D32" s="36"/>
      <c r="E32" s="36"/>
      <c r="F32" s="36"/>
      <c r="G32" s="36"/>
      <c r="H32" s="36"/>
      <c r="I32" s="36"/>
      <c r="J32" s="36"/>
      <c r="K32" s="36"/>
      <c r="L32" s="58"/>
    </row>
    <row r="33" spans="2:12" s="2" customFormat="1">
      <c r="B33" s="798" t="s">
        <v>149</v>
      </c>
      <c r="C33" s="144"/>
      <c r="D33" s="663">
        <v>279.33</v>
      </c>
      <c r="E33" s="664">
        <v>322.97000000000003</v>
      </c>
      <c r="F33" s="664">
        <v>306.41000000000003</v>
      </c>
      <c r="G33" s="664">
        <v>306.44</v>
      </c>
      <c r="H33" s="664">
        <v>333.74</v>
      </c>
      <c r="I33" s="664">
        <v>364.83</v>
      </c>
      <c r="J33" s="664"/>
      <c r="K33" s="665"/>
      <c r="L33" s="58"/>
    </row>
    <row r="34" spans="2:12" s="2" customFormat="1">
      <c r="B34" s="132"/>
      <c r="C34" s="142"/>
      <c r="L34" s="58"/>
    </row>
    <row r="35" spans="2:12" s="2" customFormat="1">
      <c r="B35" s="414" t="s">
        <v>136</v>
      </c>
      <c r="C35" s="142"/>
      <c r="L35" s="58"/>
    </row>
    <row r="36" spans="2:12" s="2" customFormat="1">
      <c r="B36" s="930" t="s">
        <v>137</v>
      </c>
      <c r="C36" s="158" t="s">
        <v>128</v>
      </c>
      <c r="D36" s="619"/>
      <c r="E36" s="620"/>
      <c r="F36" s="620"/>
      <c r="G36" s="620"/>
      <c r="H36" s="620"/>
      <c r="I36" s="620"/>
      <c r="J36" s="620"/>
      <c r="K36" s="630"/>
      <c r="L36" s="58"/>
    </row>
    <row r="37" spans="2:12" s="2" customFormat="1">
      <c r="B37" s="930" t="s">
        <v>138</v>
      </c>
      <c r="C37" s="158" t="s">
        <v>128</v>
      </c>
      <c r="D37" s="621"/>
      <c r="E37" s="622"/>
      <c r="F37" s="622"/>
      <c r="G37" s="622"/>
      <c r="H37" s="622"/>
      <c r="I37" s="622"/>
      <c r="J37" s="622"/>
      <c r="K37" s="631"/>
      <c r="L37" s="58"/>
    </row>
    <row r="38" spans="2:12" s="2" customFormat="1">
      <c r="B38" s="930" t="s">
        <v>139</v>
      </c>
      <c r="C38" s="158" t="s">
        <v>128</v>
      </c>
      <c r="D38" s="621"/>
      <c r="E38" s="622"/>
      <c r="F38" s="622"/>
      <c r="G38" s="622"/>
      <c r="H38" s="622"/>
      <c r="I38" s="622"/>
      <c r="J38" s="622"/>
      <c r="K38" s="631"/>
      <c r="L38" s="58"/>
    </row>
    <row r="39" spans="2:12" s="2" customFormat="1">
      <c r="B39" s="930" t="s">
        <v>140</v>
      </c>
      <c r="C39" s="158" t="s">
        <v>128</v>
      </c>
      <c r="D39" s="621"/>
      <c r="E39" s="622"/>
      <c r="F39" s="622"/>
      <c r="G39" s="622"/>
      <c r="H39" s="622"/>
      <c r="I39" s="622"/>
      <c r="J39" s="622"/>
      <c r="K39" s="631"/>
      <c r="L39" s="58"/>
    </row>
    <row r="40" spans="2:12" s="2" customFormat="1">
      <c r="B40" s="930" t="s">
        <v>141</v>
      </c>
      <c r="C40" s="158" t="s">
        <v>128</v>
      </c>
      <c r="D40" s="621"/>
      <c r="E40" s="622"/>
      <c r="F40" s="622"/>
      <c r="G40" s="622"/>
      <c r="H40" s="622"/>
      <c r="I40" s="622"/>
      <c r="J40" s="622"/>
      <c r="K40" s="631"/>
      <c r="L40" s="58"/>
    </row>
    <row r="41" spans="2:12" s="2" customFormat="1">
      <c r="B41" s="930" t="s">
        <v>142</v>
      </c>
      <c r="C41" s="158" t="s">
        <v>128</v>
      </c>
      <c r="D41" s="621"/>
      <c r="E41" s="622"/>
      <c r="F41" s="622"/>
      <c r="G41" s="622"/>
      <c r="H41" s="622"/>
      <c r="I41" s="622"/>
      <c r="J41" s="622"/>
      <c r="K41" s="631"/>
      <c r="L41" s="58"/>
    </row>
    <row r="42" spans="2:12" s="2" customFormat="1">
      <c r="B42" s="930" t="s">
        <v>143</v>
      </c>
      <c r="C42" s="158" t="s">
        <v>128</v>
      </c>
      <c r="D42" s="621"/>
      <c r="E42" s="622"/>
      <c r="F42" s="622"/>
      <c r="G42" s="622"/>
      <c r="H42" s="622"/>
      <c r="I42" s="622"/>
      <c r="J42" s="622"/>
      <c r="K42" s="631"/>
      <c r="L42" s="58"/>
    </row>
    <row r="43" spans="2:12" s="2" customFormat="1">
      <c r="B43" s="931" t="s">
        <v>144</v>
      </c>
      <c r="C43" s="158" t="s">
        <v>128</v>
      </c>
      <c r="D43" s="632"/>
      <c r="E43" s="633"/>
      <c r="F43" s="633"/>
      <c r="G43" s="633"/>
      <c r="H43" s="633"/>
      <c r="I43" s="633"/>
      <c r="J43" s="633"/>
      <c r="K43" s="634"/>
      <c r="L43" s="58"/>
    </row>
    <row r="44" spans="2:12" s="2" customFormat="1">
      <c r="B44" s="929" t="s">
        <v>515</v>
      </c>
      <c r="C44" s="158" t="s">
        <v>128</v>
      </c>
      <c r="D44" s="632"/>
      <c r="E44" s="633"/>
      <c r="F44" s="633"/>
      <c r="G44" s="633"/>
      <c r="H44" s="633"/>
      <c r="I44" s="633"/>
      <c r="J44" s="633"/>
      <c r="K44" s="634"/>
      <c r="L44" s="58"/>
    </row>
    <row r="45" spans="2:12" s="2" customFormat="1">
      <c r="B45" s="414" t="s">
        <v>176</v>
      </c>
      <c r="C45" s="158" t="s">
        <v>128</v>
      </c>
      <c r="D45" s="635">
        <f>SUM(D36:D44)</f>
        <v>0</v>
      </c>
      <c r="E45" s="636">
        <f t="shared" ref="E45:K45" si="4">SUM(E36:E44)</f>
        <v>0</v>
      </c>
      <c r="F45" s="636">
        <f t="shared" si="4"/>
        <v>0</v>
      </c>
      <c r="G45" s="636">
        <f t="shared" si="4"/>
        <v>0</v>
      </c>
      <c r="H45" s="636">
        <f t="shared" si="4"/>
        <v>0</v>
      </c>
      <c r="I45" s="636">
        <f t="shared" si="4"/>
        <v>0</v>
      </c>
      <c r="J45" s="636">
        <f t="shared" si="4"/>
        <v>0</v>
      </c>
      <c r="K45" s="637">
        <f t="shared" si="4"/>
        <v>0</v>
      </c>
      <c r="L45" s="58"/>
    </row>
    <row r="46" spans="2:12" s="2" customFormat="1">
      <c r="B46" s="132"/>
      <c r="C46" s="142"/>
      <c r="L46" s="58"/>
    </row>
    <row r="47" spans="2:12" s="2" customFormat="1">
      <c r="B47" s="414" t="s">
        <v>145</v>
      </c>
      <c r="C47" s="142"/>
      <c r="L47" s="55"/>
    </row>
    <row r="48" spans="2:12" s="2" customFormat="1">
      <c r="B48" s="937" t="s">
        <v>529</v>
      </c>
      <c r="C48" s="158" t="s">
        <v>128</v>
      </c>
      <c r="D48" s="638">
        <v>7.01</v>
      </c>
      <c r="E48" s="639">
        <v>7.73</v>
      </c>
      <c r="F48" s="639">
        <v>8.0419999999999998</v>
      </c>
      <c r="G48" s="639">
        <v>9.3840000000000003</v>
      </c>
      <c r="H48" s="639">
        <v>11.289</v>
      </c>
      <c r="I48" s="639">
        <v>11.503642108915194</v>
      </c>
      <c r="J48" s="639"/>
      <c r="K48" s="640"/>
      <c r="L48" s="58"/>
    </row>
    <row r="49" spans="2:12" s="2" customFormat="1">
      <c r="B49" s="566" t="s">
        <v>530</v>
      </c>
      <c r="C49" s="158" t="s">
        <v>128</v>
      </c>
      <c r="D49" s="641"/>
      <c r="E49" s="642"/>
      <c r="F49" s="642"/>
      <c r="G49" s="642"/>
      <c r="H49" s="642"/>
      <c r="I49" s="642">
        <v>3.3999999999999986</v>
      </c>
      <c r="J49" s="642"/>
      <c r="K49" s="643"/>
      <c r="L49" s="58"/>
    </row>
    <row r="50" spans="2:12" s="2" customFormat="1">
      <c r="B50" s="566"/>
      <c r="C50" s="158" t="s">
        <v>128</v>
      </c>
      <c r="D50" s="641"/>
      <c r="E50" s="642"/>
      <c r="F50" s="642"/>
      <c r="G50" s="642"/>
      <c r="H50" s="642"/>
      <c r="I50" s="642"/>
      <c r="J50" s="642"/>
      <c r="K50" s="643"/>
      <c r="L50" s="58"/>
    </row>
    <row r="51" spans="2:12" s="2" customFormat="1">
      <c r="B51" s="566"/>
      <c r="C51" s="158" t="s">
        <v>128</v>
      </c>
      <c r="D51" s="641"/>
      <c r="E51" s="642"/>
      <c r="F51" s="642"/>
      <c r="G51" s="642"/>
      <c r="H51" s="642"/>
      <c r="I51" s="642"/>
      <c r="J51" s="642"/>
      <c r="K51" s="643"/>
      <c r="L51" s="58"/>
    </row>
    <row r="52" spans="2:12" s="2" customFormat="1">
      <c r="B52" s="566"/>
      <c r="C52" s="158" t="s">
        <v>128</v>
      </c>
      <c r="D52" s="641"/>
      <c r="E52" s="642"/>
      <c r="F52" s="642"/>
      <c r="G52" s="642"/>
      <c r="H52" s="642"/>
      <c r="I52" s="642"/>
      <c r="J52" s="642"/>
      <c r="K52" s="643"/>
      <c r="L52" s="58"/>
    </row>
    <row r="53" spans="2:12" s="2" customFormat="1">
      <c r="B53" s="566"/>
      <c r="C53" s="158" t="s">
        <v>128</v>
      </c>
      <c r="D53" s="641"/>
      <c r="E53" s="642"/>
      <c r="F53" s="642"/>
      <c r="G53" s="642"/>
      <c r="H53" s="642"/>
      <c r="I53" s="642"/>
      <c r="J53" s="642"/>
      <c r="K53" s="643"/>
      <c r="L53" s="58"/>
    </row>
    <row r="54" spans="2:12" s="2" customFormat="1">
      <c r="B54" s="566"/>
      <c r="C54" s="158" t="s">
        <v>128</v>
      </c>
      <c r="D54" s="641"/>
      <c r="E54" s="642"/>
      <c r="F54" s="642"/>
      <c r="G54" s="642"/>
      <c r="H54" s="642"/>
      <c r="I54" s="642"/>
      <c r="J54" s="642"/>
      <c r="K54" s="643"/>
      <c r="L54" s="58"/>
    </row>
    <row r="55" spans="2:12" s="2" customFormat="1">
      <c r="B55" s="566"/>
      <c r="C55" s="158" t="s">
        <v>128</v>
      </c>
      <c r="D55" s="641"/>
      <c r="E55" s="642"/>
      <c r="F55" s="642"/>
      <c r="G55" s="642"/>
      <c r="H55" s="642"/>
      <c r="I55" s="642"/>
      <c r="J55" s="642"/>
      <c r="K55" s="643"/>
      <c r="L55" s="58"/>
    </row>
    <row r="56" spans="2:12" s="2" customFormat="1">
      <c r="B56" s="566"/>
      <c r="C56" s="158" t="s">
        <v>128</v>
      </c>
      <c r="D56" s="641"/>
      <c r="E56" s="642"/>
      <c r="F56" s="642"/>
      <c r="G56" s="642"/>
      <c r="H56" s="642"/>
      <c r="I56" s="642"/>
      <c r="J56" s="642"/>
      <c r="K56" s="643"/>
      <c r="L56" s="58"/>
    </row>
    <row r="57" spans="2:12" s="2" customFormat="1">
      <c r="B57" s="566"/>
      <c r="C57" s="158" t="s">
        <v>128</v>
      </c>
      <c r="D57" s="641"/>
      <c r="E57" s="642"/>
      <c r="F57" s="642"/>
      <c r="G57" s="642"/>
      <c r="H57" s="642"/>
      <c r="I57" s="642"/>
      <c r="J57" s="642"/>
      <c r="K57" s="643"/>
      <c r="L57" s="58"/>
    </row>
    <row r="58" spans="2:12" s="2" customFormat="1">
      <c r="B58" s="566"/>
      <c r="C58" s="158" t="s">
        <v>128</v>
      </c>
      <c r="D58" s="641"/>
      <c r="E58" s="642"/>
      <c r="F58" s="642"/>
      <c r="G58" s="642"/>
      <c r="H58" s="642"/>
      <c r="I58" s="642"/>
      <c r="J58" s="642"/>
      <c r="K58" s="643"/>
      <c r="L58" s="58"/>
    </row>
    <row r="59" spans="2:12" s="2" customFormat="1">
      <c r="B59" s="566"/>
      <c r="C59" s="158" t="s">
        <v>128</v>
      </c>
      <c r="D59" s="641"/>
      <c r="E59" s="642"/>
      <c r="F59" s="642"/>
      <c r="G59" s="642"/>
      <c r="H59" s="642"/>
      <c r="I59" s="642"/>
      <c r="J59" s="642"/>
      <c r="K59" s="643"/>
      <c r="L59" s="58"/>
    </row>
    <row r="60" spans="2:12" s="2" customFormat="1">
      <c r="B60" s="566"/>
      <c r="C60" s="158" t="s">
        <v>128</v>
      </c>
      <c r="D60" s="641"/>
      <c r="E60" s="642"/>
      <c r="F60" s="642"/>
      <c r="G60" s="642"/>
      <c r="H60" s="642"/>
      <c r="I60" s="642"/>
      <c r="J60" s="642"/>
      <c r="K60" s="643"/>
      <c r="L60" s="58"/>
    </row>
    <row r="61" spans="2:12" s="2" customFormat="1">
      <c r="B61" s="566"/>
      <c r="C61" s="158" t="s">
        <v>128</v>
      </c>
      <c r="D61" s="641"/>
      <c r="E61" s="642"/>
      <c r="F61" s="642"/>
      <c r="G61" s="642"/>
      <c r="H61" s="642"/>
      <c r="I61" s="642"/>
      <c r="J61" s="642"/>
      <c r="K61" s="643"/>
      <c r="L61" s="58"/>
    </row>
    <row r="62" spans="2:12" s="2" customFormat="1">
      <c r="B62" s="566"/>
      <c r="C62" s="158" t="s">
        <v>128</v>
      </c>
      <c r="D62" s="641"/>
      <c r="E62" s="642"/>
      <c r="F62" s="642"/>
      <c r="G62" s="642"/>
      <c r="H62" s="642"/>
      <c r="I62" s="642"/>
      <c r="J62" s="642"/>
      <c r="K62" s="643"/>
      <c r="L62" s="58"/>
    </row>
    <row r="63" spans="2:12" s="2" customFormat="1">
      <c r="B63" s="802" t="s">
        <v>154</v>
      </c>
      <c r="C63" s="158" t="s">
        <v>128</v>
      </c>
      <c r="D63" s="644"/>
      <c r="E63" s="645"/>
      <c r="F63" s="646"/>
      <c r="G63" s="645"/>
      <c r="H63" s="645"/>
      <c r="I63" s="645"/>
      <c r="J63" s="645"/>
      <c r="K63" s="647"/>
      <c r="L63" s="58"/>
    </row>
    <row r="64" spans="2:12" s="2" customFormat="1">
      <c r="B64" s="798" t="s">
        <v>177</v>
      </c>
      <c r="C64" s="158" t="s">
        <v>128</v>
      </c>
      <c r="D64" s="627">
        <f t="shared" ref="D64:K64" si="5">SUM(D48:D63)</f>
        <v>7.01</v>
      </c>
      <c r="E64" s="628">
        <f t="shared" si="5"/>
        <v>7.73</v>
      </c>
      <c r="F64" s="628">
        <f t="shared" si="5"/>
        <v>8.0419999999999998</v>
      </c>
      <c r="G64" s="628">
        <f t="shared" si="5"/>
        <v>9.3840000000000003</v>
      </c>
      <c r="H64" s="628">
        <f t="shared" si="5"/>
        <v>11.289</v>
      </c>
      <c r="I64" s="628">
        <f t="shared" si="5"/>
        <v>14.903642108915193</v>
      </c>
      <c r="J64" s="628">
        <f t="shared" si="5"/>
        <v>0</v>
      </c>
      <c r="K64" s="629">
        <f t="shared" si="5"/>
        <v>0</v>
      </c>
      <c r="L64" s="58"/>
    </row>
    <row r="65" spans="1:12" s="2" customFormat="1">
      <c r="B65" s="231"/>
      <c r="C65" s="144"/>
      <c r="D65" s="56"/>
      <c r="E65" s="56"/>
      <c r="F65" s="56"/>
      <c r="G65" s="56"/>
      <c r="H65" s="56"/>
      <c r="I65" s="56"/>
      <c r="J65" s="56"/>
      <c r="K65" s="56"/>
      <c r="L65" s="58"/>
    </row>
    <row r="66" spans="1:12" s="2" customFormat="1">
      <c r="B66" s="798" t="s">
        <v>146</v>
      </c>
      <c r="C66" s="158" t="s">
        <v>128</v>
      </c>
      <c r="D66" s="648">
        <f t="shared" ref="D66:K66" si="6">D33+D45+D64</f>
        <v>286.33999999999997</v>
      </c>
      <c r="E66" s="649">
        <f t="shared" si="6"/>
        <v>330.70000000000005</v>
      </c>
      <c r="F66" s="649">
        <f t="shared" si="6"/>
        <v>314.452</v>
      </c>
      <c r="G66" s="649">
        <f t="shared" si="6"/>
        <v>315.82400000000001</v>
      </c>
      <c r="H66" s="649">
        <f t="shared" si="6"/>
        <v>345.029</v>
      </c>
      <c r="I66" s="649">
        <f t="shared" si="6"/>
        <v>379.73364210891521</v>
      </c>
      <c r="J66" s="649">
        <f t="shared" si="6"/>
        <v>0</v>
      </c>
      <c r="K66" s="650">
        <f t="shared" si="6"/>
        <v>0</v>
      </c>
      <c r="L66" s="58"/>
    </row>
    <row r="67" spans="1:12" s="2" customFormat="1">
      <c r="B67" s="798" t="s">
        <v>194</v>
      </c>
      <c r="C67" s="158" t="s">
        <v>128</v>
      </c>
      <c r="D67" s="651">
        <v>286.3</v>
      </c>
      <c r="E67" s="652">
        <v>330.7</v>
      </c>
      <c r="F67" s="652">
        <v>314.5</v>
      </c>
      <c r="G67" s="652">
        <v>315.8</v>
      </c>
      <c r="H67" s="652">
        <v>345</v>
      </c>
      <c r="I67" s="652">
        <v>379.7</v>
      </c>
      <c r="J67" s="652"/>
      <c r="K67" s="653"/>
      <c r="L67" s="58"/>
    </row>
    <row r="68" spans="1:12" s="2" customFormat="1">
      <c r="B68" s="231" t="s">
        <v>122</v>
      </c>
      <c r="C68" s="144"/>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2" s="2" customFormat="1">
      <c r="B69" s="132"/>
      <c r="C69" s="144"/>
      <c r="D69" s="49"/>
      <c r="E69" s="49"/>
      <c r="F69" s="49"/>
      <c r="G69" s="49"/>
      <c r="H69" s="49"/>
      <c r="I69" s="49"/>
      <c r="J69" s="49"/>
      <c r="K69" s="49"/>
      <c r="L69" s="58"/>
    </row>
    <row r="70" spans="1:12" s="2" customFormat="1">
      <c r="B70" s="132"/>
      <c r="C70" s="142"/>
      <c r="L70" s="55"/>
    </row>
    <row r="71" spans="1:12" s="2" customFormat="1">
      <c r="A71" s="80"/>
      <c r="B71" s="803"/>
      <c r="C71" s="156"/>
      <c r="D71" s="80"/>
      <c r="E71" s="80"/>
      <c r="F71" s="80"/>
      <c r="G71" s="80"/>
      <c r="H71" s="80"/>
      <c r="I71" s="80"/>
      <c r="J71" s="80"/>
      <c r="K71" s="80"/>
      <c r="L71" s="282"/>
    </row>
  </sheetData>
  <conditionalFormatting sqref="D6:K6">
    <cfRule type="expression" dxfId="50" priority="20">
      <formula>AND(D$5="Actuals",E$5="Forecast")</formula>
    </cfRule>
  </conditionalFormatting>
  <conditionalFormatting sqref="D5:K5">
    <cfRule type="expression" dxfId="49" priority="13">
      <formula>AND(D$5="Actuals",E$5="Forecast")</formula>
    </cfRule>
  </conditionalFormatting>
  <conditionalFormatting sqref="D33:K33 D36:K45 D48:K64 D28:H28 D66:K68">
    <cfRule type="expression" dxfId="48" priority="12">
      <formula>D$5="Forecast"</formula>
    </cfRule>
  </conditionalFormatting>
  <conditionalFormatting sqref="I10:K26 I28:K28">
    <cfRule type="expression" dxfId="47" priority="11">
      <formula>I$5="Forecast"</formula>
    </cfRule>
  </conditionalFormatting>
  <conditionalFormatting sqref="H10:H26">
    <cfRule type="expression" dxfId="46" priority="10">
      <formula>H$5="Forecast"</formula>
    </cfRule>
  </conditionalFormatting>
  <conditionalFormatting sqref="G10:G26">
    <cfRule type="expression" dxfId="45" priority="9">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4.5" customWidth="1"/>
    <col min="3" max="3" width="13.375" style="142" customWidth="1"/>
    <col min="4" max="11" width="11.125" customWidth="1"/>
    <col min="12" max="12" width="5" customWidth="1"/>
  </cols>
  <sheetData>
    <row r="1" spans="1:12" s="32" customFormat="1" ht="20.25">
      <c r="A1" s="120" t="s">
        <v>311</v>
      </c>
      <c r="B1" s="122"/>
      <c r="C1" s="154"/>
      <c r="D1" s="122"/>
      <c r="E1" s="122"/>
      <c r="F1" s="122"/>
      <c r="G1" s="122"/>
      <c r="H1" s="122"/>
      <c r="I1" s="122"/>
      <c r="J1" s="122"/>
      <c r="K1" s="122"/>
      <c r="L1" s="123"/>
    </row>
    <row r="2" spans="1:12" s="32" customFormat="1" ht="20.25">
      <c r="A2" s="124" t="str">
        <f>'RFPR cover'!C5</f>
        <v>SPT</v>
      </c>
      <c r="B2" s="30"/>
      <c r="C2" s="140"/>
      <c r="D2" s="30"/>
      <c r="E2" s="30"/>
      <c r="F2" s="30"/>
      <c r="G2" s="30"/>
      <c r="H2" s="30"/>
      <c r="I2" s="27"/>
      <c r="J2" s="27"/>
      <c r="K2" s="27"/>
      <c r="L2" s="125"/>
    </row>
    <row r="3" spans="1:12" s="32" customFormat="1" ht="20.25">
      <c r="A3" s="126">
        <f>'RFPR cover'!C7</f>
        <v>2019</v>
      </c>
      <c r="B3" s="127"/>
      <c r="C3" s="155"/>
      <c r="D3" s="127"/>
      <c r="E3" s="127"/>
      <c r="F3" s="127"/>
      <c r="G3" s="127"/>
      <c r="H3" s="127"/>
      <c r="I3" s="29"/>
      <c r="J3" s="29"/>
      <c r="K3" s="29"/>
      <c r="L3" s="128"/>
    </row>
    <row r="4" spans="1:12" s="2" customFormat="1" ht="12.75" customHeight="1">
      <c r="C4" s="142"/>
    </row>
    <row r="5" spans="1:12" s="2" customFormat="1" ht="12.75" customHeight="1">
      <c r="B5" s="3"/>
      <c r="C5" s="142"/>
      <c r="D5" s="407" t="str">
        <f>IF(D6&lt;='RFPR cover'!$C$7,"Actuals","N/A")</f>
        <v>Actuals</v>
      </c>
      <c r="E5" s="408" t="str">
        <f>IF(E6&lt;='RFPR cover'!$C$7,"Actuals","N/A")</f>
        <v>Actuals</v>
      </c>
      <c r="F5" s="408" t="str">
        <f>IF(F6&lt;='RFPR cover'!$C$7,"Actuals","N/A")</f>
        <v>Actuals</v>
      </c>
      <c r="G5" s="408" t="str">
        <f>IF(G6&lt;='RFPR cover'!$C$7,"Actuals","N/A")</f>
        <v>Actuals</v>
      </c>
      <c r="H5" s="408" t="str">
        <f>IF(H6&lt;='RFPR cover'!$C$7,"Actuals","N/A")</f>
        <v>Actuals</v>
      </c>
      <c r="I5" s="408" t="str">
        <f>IF(I6&lt;='RFPR cover'!$C$7,"Actuals","N/A")</f>
        <v>Actuals</v>
      </c>
      <c r="J5" s="408" t="str">
        <f>IF(J6&lt;='RFPR cover'!$C$7,"Actuals","N/A")</f>
        <v>N/A</v>
      </c>
      <c r="K5" s="409" t="str">
        <f>IF(K6&lt;='RFPR cover'!$C$7,"Actuals","N/A")</f>
        <v>N/A</v>
      </c>
    </row>
    <row r="6" spans="1:12" s="2" customFormat="1" ht="12.75" customHeight="1">
      <c r="C6" s="142"/>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2" s="2" customFormat="1">
      <c r="C7" s="142"/>
    </row>
    <row r="8" spans="1:12" s="2" customFormat="1">
      <c r="B8" s="52" t="s">
        <v>317</v>
      </c>
      <c r="C8" s="143"/>
      <c r="D8" s="52"/>
      <c r="E8" s="52"/>
      <c r="F8" s="52"/>
      <c r="G8" s="52"/>
      <c r="H8" s="52"/>
      <c r="I8" s="52"/>
      <c r="J8" s="52"/>
      <c r="K8" s="52"/>
      <c r="L8" s="36"/>
    </row>
    <row r="9" spans="1:12" s="2" customFormat="1">
      <c r="B9" s="132" t="s">
        <v>160</v>
      </c>
      <c r="C9" s="158" t="s">
        <v>128</v>
      </c>
      <c r="D9" s="619">
        <v>291.39999999999998</v>
      </c>
      <c r="E9" s="620">
        <v>341.8</v>
      </c>
      <c r="F9" s="620">
        <v>394.3</v>
      </c>
      <c r="G9" s="620">
        <v>361.09999999999997</v>
      </c>
      <c r="H9" s="620">
        <v>254.49999999999966</v>
      </c>
      <c r="I9" s="620">
        <v>181.90000000000066</v>
      </c>
      <c r="J9" s="620"/>
      <c r="K9" s="630"/>
    </row>
    <row r="10" spans="1:12" s="2" customFormat="1">
      <c r="B10" s="132" t="s">
        <v>161</v>
      </c>
      <c r="C10" s="158" t="s">
        <v>128</v>
      </c>
      <c r="D10" s="621">
        <v>0</v>
      </c>
      <c r="E10" s="622">
        <v>0</v>
      </c>
      <c r="F10" s="622">
        <v>0</v>
      </c>
      <c r="G10" s="622">
        <v>0</v>
      </c>
      <c r="H10" s="622">
        <v>0</v>
      </c>
      <c r="I10" s="622">
        <v>0</v>
      </c>
      <c r="J10" s="622"/>
      <c r="K10" s="631"/>
    </row>
    <row r="11" spans="1:12" s="2" customFormat="1" ht="29.25" customHeight="1">
      <c r="B11" s="133" t="s">
        <v>443</v>
      </c>
      <c r="C11" s="158" t="s">
        <v>128</v>
      </c>
      <c r="D11" s="621">
        <v>0</v>
      </c>
      <c r="E11" s="622">
        <v>0</v>
      </c>
      <c r="F11" s="622">
        <v>0</v>
      </c>
      <c r="G11" s="622">
        <v>0</v>
      </c>
      <c r="H11" s="622">
        <v>0</v>
      </c>
      <c r="I11" s="622">
        <v>0</v>
      </c>
      <c r="J11" s="622"/>
      <c r="K11" s="631"/>
    </row>
    <row r="12" spans="1:12" s="2" customFormat="1">
      <c r="B12" s="132" t="s">
        <v>162</v>
      </c>
      <c r="C12" s="158" t="s">
        <v>128</v>
      </c>
      <c r="D12" s="621">
        <v>-9.9010641800000023</v>
      </c>
      <c r="E12" s="622">
        <v>-7.2</v>
      </c>
      <c r="F12" s="622">
        <v>-14.6</v>
      </c>
      <c r="G12" s="622">
        <v>-16.399999999999999</v>
      </c>
      <c r="H12" s="622">
        <v>-19.8</v>
      </c>
      <c r="I12" s="622">
        <v>-20.900000000000002</v>
      </c>
      <c r="J12" s="622"/>
      <c r="K12" s="631"/>
    </row>
    <row r="13" spans="1:12" s="2" customFormat="1">
      <c r="B13" s="132" t="s">
        <v>163</v>
      </c>
      <c r="C13" s="158" t="s">
        <v>128</v>
      </c>
      <c r="D13" s="621">
        <v>-1.9525106900000002</v>
      </c>
      <c r="E13" s="622">
        <v>-3.1751428599999993</v>
      </c>
      <c r="F13" s="622">
        <v>-4.44193207</v>
      </c>
      <c r="G13" s="622">
        <v>-5.0944122099999998</v>
      </c>
      <c r="H13" s="622">
        <v>-4.1250720099999993</v>
      </c>
      <c r="I13" s="622">
        <v>-1.6845632699999999</v>
      </c>
      <c r="J13" s="622"/>
      <c r="K13" s="631"/>
    </row>
    <row r="14" spans="1:12" s="2" customFormat="1">
      <c r="B14" s="132" t="s">
        <v>164</v>
      </c>
      <c r="C14" s="158" t="s">
        <v>128</v>
      </c>
      <c r="D14" s="657">
        <v>0</v>
      </c>
      <c r="E14" s="658">
        <v>0</v>
      </c>
      <c r="F14" s="658">
        <v>0</v>
      </c>
      <c r="G14" s="658">
        <v>0</v>
      </c>
      <c r="H14" s="658">
        <v>0</v>
      </c>
      <c r="I14" s="658">
        <v>0</v>
      </c>
      <c r="J14" s="658"/>
      <c r="K14" s="659"/>
    </row>
    <row r="15" spans="1:12" s="2" customFormat="1">
      <c r="A15" s="3">
        <v>1</v>
      </c>
      <c r="B15" s="903" t="s">
        <v>243</v>
      </c>
      <c r="C15" s="158" t="s">
        <v>128</v>
      </c>
      <c r="D15" s="619">
        <v>0</v>
      </c>
      <c r="E15" s="620">
        <v>0</v>
      </c>
      <c r="F15" s="620">
        <v>0</v>
      </c>
      <c r="G15" s="620">
        <v>0</v>
      </c>
      <c r="H15" s="620">
        <v>0</v>
      </c>
      <c r="I15" s="620">
        <v>0</v>
      </c>
      <c r="J15" s="620"/>
      <c r="K15" s="630"/>
    </row>
    <row r="16" spans="1:12" s="2" customFormat="1">
      <c r="A16" s="3">
        <v>2</v>
      </c>
      <c r="B16" s="903" t="s">
        <v>243</v>
      </c>
      <c r="C16" s="158" t="s">
        <v>128</v>
      </c>
      <c r="D16" s="621">
        <v>0</v>
      </c>
      <c r="E16" s="622">
        <v>0</v>
      </c>
      <c r="F16" s="622">
        <v>0</v>
      </c>
      <c r="G16" s="622">
        <v>0</v>
      </c>
      <c r="H16" s="622">
        <v>0</v>
      </c>
      <c r="I16" s="622">
        <v>0</v>
      </c>
      <c r="J16" s="622"/>
      <c r="K16" s="631"/>
    </row>
    <row r="17" spans="1:11" s="2" customFormat="1">
      <c r="A17" s="3">
        <v>3</v>
      </c>
      <c r="B17" s="903" t="s">
        <v>243</v>
      </c>
      <c r="C17" s="158" t="s">
        <v>128</v>
      </c>
      <c r="D17" s="621">
        <v>0</v>
      </c>
      <c r="E17" s="622">
        <v>0</v>
      </c>
      <c r="F17" s="622">
        <v>0</v>
      </c>
      <c r="G17" s="622">
        <v>0</v>
      </c>
      <c r="H17" s="622">
        <v>0</v>
      </c>
      <c r="I17" s="622">
        <v>0</v>
      </c>
      <c r="J17" s="622"/>
      <c r="K17" s="631"/>
    </row>
    <row r="18" spans="1:11" s="2" customFormat="1">
      <c r="B18" s="12" t="s">
        <v>165</v>
      </c>
      <c r="C18" s="158" t="s">
        <v>128</v>
      </c>
      <c r="D18" s="660">
        <f>SUM(D9:D17)</f>
        <v>279.54642512999999</v>
      </c>
      <c r="E18" s="661">
        <f t="shared" ref="E18:K18" si="1">SUM(E9:E17)</f>
        <v>331.42485714000003</v>
      </c>
      <c r="F18" s="661">
        <f t="shared" si="1"/>
        <v>375.25806792999998</v>
      </c>
      <c r="G18" s="661">
        <f t="shared" si="1"/>
        <v>339.60558779000002</v>
      </c>
      <c r="H18" s="661">
        <f t="shared" si="1"/>
        <v>230.57492798999965</v>
      </c>
      <c r="I18" s="661">
        <f t="shared" si="1"/>
        <v>159.31543673000064</v>
      </c>
      <c r="J18" s="661">
        <f t="shared" si="1"/>
        <v>0</v>
      </c>
      <c r="K18" s="662">
        <f t="shared" si="1"/>
        <v>0</v>
      </c>
    </row>
    <row r="19" spans="1:11" s="2" customFormat="1">
      <c r="B19" s="132" t="s">
        <v>166</v>
      </c>
      <c r="C19" s="158" t="s">
        <v>128</v>
      </c>
      <c r="D19" s="663">
        <v>34.5</v>
      </c>
      <c r="E19" s="664">
        <v>49.300000000000004</v>
      </c>
      <c r="F19" s="664">
        <v>51.5</v>
      </c>
      <c r="G19" s="664">
        <v>60.199999999999989</v>
      </c>
      <c r="H19" s="664">
        <v>64.2</v>
      </c>
      <c r="I19" s="664">
        <v>74.099999999999994</v>
      </c>
      <c r="J19" s="664"/>
      <c r="K19" s="665"/>
    </row>
    <row r="20" spans="1:11" s="2" customFormat="1">
      <c r="A20" s="3">
        <v>1</v>
      </c>
      <c r="B20" s="903" t="s">
        <v>243</v>
      </c>
      <c r="C20" s="158" t="s">
        <v>128</v>
      </c>
      <c r="D20" s="619">
        <v>0</v>
      </c>
      <c r="E20" s="620">
        <v>0</v>
      </c>
      <c r="F20" s="620">
        <v>0</v>
      </c>
      <c r="G20" s="620">
        <v>0</v>
      </c>
      <c r="H20" s="620">
        <v>0</v>
      </c>
      <c r="I20" s="620">
        <v>0</v>
      </c>
      <c r="J20" s="620"/>
      <c r="K20" s="630"/>
    </row>
    <row r="21" spans="1:11" s="2" customFormat="1">
      <c r="A21" s="3">
        <v>2</v>
      </c>
      <c r="B21" s="903" t="s">
        <v>243</v>
      </c>
      <c r="C21" s="158" t="s">
        <v>128</v>
      </c>
      <c r="D21" s="621">
        <v>0</v>
      </c>
      <c r="E21" s="622">
        <v>0</v>
      </c>
      <c r="F21" s="622">
        <v>0</v>
      </c>
      <c r="G21" s="622">
        <v>0</v>
      </c>
      <c r="H21" s="622">
        <v>0</v>
      </c>
      <c r="I21" s="622">
        <v>0</v>
      </c>
      <c r="J21" s="622"/>
      <c r="K21" s="631"/>
    </row>
    <row r="22" spans="1:11" s="2" customFormat="1">
      <c r="A22" s="3">
        <v>3</v>
      </c>
      <c r="B22" s="903" t="s">
        <v>243</v>
      </c>
      <c r="C22" s="158" t="s">
        <v>128</v>
      </c>
      <c r="D22" s="621">
        <v>0</v>
      </c>
      <c r="E22" s="622">
        <v>0</v>
      </c>
      <c r="F22" s="622">
        <v>0</v>
      </c>
      <c r="G22" s="622">
        <v>0</v>
      </c>
      <c r="H22" s="622">
        <v>0</v>
      </c>
      <c r="I22" s="622">
        <v>0</v>
      </c>
      <c r="J22" s="622"/>
      <c r="K22" s="631"/>
    </row>
    <row r="23" spans="1:11" s="2" customFormat="1">
      <c r="B23" s="12" t="s">
        <v>167</v>
      </c>
      <c r="C23" s="158" t="s">
        <v>128</v>
      </c>
      <c r="D23" s="635">
        <f>SUM(D18:D22)</f>
        <v>314.04642512999999</v>
      </c>
      <c r="E23" s="636">
        <f t="shared" ref="E23:K23" si="2">SUM(E18:E22)</f>
        <v>380.72485714000004</v>
      </c>
      <c r="F23" s="636">
        <f t="shared" si="2"/>
        <v>426.75806792999998</v>
      </c>
      <c r="G23" s="636">
        <f t="shared" si="2"/>
        <v>399.80558779</v>
      </c>
      <c r="H23" s="636">
        <f t="shared" si="2"/>
        <v>294.77492798999964</v>
      </c>
      <c r="I23" s="636">
        <f t="shared" si="2"/>
        <v>233.41543673000064</v>
      </c>
      <c r="J23" s="636">
        <f t="shared" si="2"/>
        <v>0</v>
      </c>
      <c r="K23" s="637">
        <f t="shared" si="2"/>
        <v>0</v>
      </c>
    </row>
    <row r="24" spans="1:11" s="2" customFormat="1">
      <c r="C24" s="142"/>
      <c r="D24" s="53"/>
      <c r="E24" s="53"/>
      <c r="F24" s="53"/>
      <c r="G24" s="53"/>
      <c r="H24" s="53"/>
      <c r="I24" s="53"/>
      <c r="J24" s="53"/>
      <c r="K24" s="53"/>
    </row>
    <row r="25" spans="1:11" s="2" customFormat="1">
      <c r="B25" s="12" t="s">
        <v>433</v>
      </c>
      <c r="C25" s="158" t="s">
        <v>128</v>
      </c>
      <c r="D25" s="55"/>
    </row>
    <row r="26" spans="1:11" s="2" customFormat="1">
      <c r="A26" s="3">
        <v>1</v>
      </c>
      <c r="B26" s="543" t="s">
        <v>539</v>
      </c>
      <c r="C26" s="158" t="s">
        <v>128</v>
      </c>
      <c r="D26" s="619">
        <v>-0.23646759043905213</v>
      </c>
      <c r="E26" s="620">
        <v>-0.31840863132030622</v>
      </c>
      <c r="F26" s="620">
        <v>-5.0884695471816961E-2</v>
      </c>
      <c r="G26" s="620">
        <v>-0.43725048705207925</v>
      </c>
      <c r="H26" s="620">
        <v>0.73807939659788424</v>
      </c>
      <c r="I26" s="620">
        <v>0.79308417022913069</v>
      </c>
      <c r="J26" s="620"/>
      <c r="K26" s="630"/>
    </row>
    <row r="27" spans="1:11" s="2" customFormat="1">
      <c r="A27" s="3">
        <v>2</v>
      </c>
      <c r="B27" s="543" t="s">
        <v>540</v>
      </c>
      <c r="C27" s="158" t="s">
        <v>128</v>
      </c>
      <c r="D27" s="621">
        <v>2.6063116179036765</v>
      </c>
      <c r="E27" s="622">
        <v>3.3117272330559668</v>
      </c>
      <c r="F27" s="622">
        <v>9.6877690318359768</v>
      </c>
      <c r="G27" s="622">
        <v>7.0802604136541509</v>
      </c>
      <c r="H27" s="622">
        <v>4.8921311413011317</v>
      </c>
      <c r="I27" s="622">
        <v>3.1000000000000005</v>
      </c>
      <c r="J27" s="622"/>
      <c r="K27" s="631"/>
    </row>
    <row r="28" spans="1:11" s="2" customFormat="1">
      <c r="A28" s="3">
        <v>3</v>
      </c>
      <c r="B28" s="543" t="s">
        <v>541</v>
      </c>
      <c r="C28" s="158" t="s">
        <v>128</v>
      </c>
      <c r="D28" s="621">
        <v>0</v>
      </c>
      <c r="E28" s="622">
        <v>0</v>
      </c>
      <c r="F28" s="622">
        <v>0</v>
      </c>
      <c r="G28" s="622">
        <v>1.3995422200000001</v>
      </c>
      <c r="H28" s="622">
        <v>3.0769535399999999</v>
      </c>
      <c r="I28" s="622">
        <v>8.9207893499999997</v>
      </c>
      <c r="J28" s="622"/>
      <c r="K28" s="631"/>
    </row>
    <row r="29" spans="1:11" s="2" customFormat="1">
      <c r="A29" s="3">
        <v>4</v>
      </c>
      <c r="B29" s="543" t="s">
        <v>542</v>
      </c>
      <c r="C29" s="158" t="s">
        <v>128</v>
      </c>
      <c r="D29" s="621">
        <v>-54.684665204800012</v>
      </c>
      <c r="E29" s="622">
        <v>-66.140531579200001</v>
      </c>
      <c r="F29" s="622">
        <v>-36.450127729599991</v>
      </c>
      <c r="G29" s="622">
        <v>-23.8063596368</v>
      </c>
      <c r="H29" s="622">
        <v>-17.515062442593049</v>
      </c>
      <c r="I29" s="622">
        <v>-8.6614016797650599</v>
      </c>
      <c r="J29" s="622"/>
      <c r="K29" s="631"/>
    </row>
    <row r="30" spans="1:11" s="2" customFormat="1">
      <c r="A30" s="3">
        <v>5</v>
      </c>
      <c r="B30" s="543" t="s">
        <v>543</v>
      </c>
      <c r="C30" s="158" t="s">
        <v>128</v>
      </c>
      <c r="D30" s="621">
        <v>-1.7140537300000001</v>
      </c>
      <c r="E30" s="622">
        <v>-1.34433844</v>
      </c>
      <c r="F30" s="622">
        <v>-1.7216833800000002</v>
      </c>
      <c r="G30" s="622">
        <v>-1.8130586000000002</v>
      </c>
      <c r="H30" s="622">
        <v>-1.9032785444241997</v>
      </c>
      <c r="I30" s="622">
        <v>-3.1868720654365985</v>
      </c>
      <c r="J30" s="622"/>
      <c r="K30" s="631"/>
    </row>
    <row r="31" spans="1:11" s="2" customFormat="1">
      <c r="A31" s="3">
        <v>6</v>
      </c>
      <c r="B31" s="543" t="s">
        <v>544</v>
      </c>
      <c r="C31" s="158" t="s">
        <v>128</v>
      </c>
      <c r="D31" s="621">
        <v>0</v>
      </c>
      <c r="E31" s="622">
        <v>0</v>
      </c>
      <c r="F31" s="622">
        <v>0</v>
      </c>
      <c r="G31" s="622">
        <v>-6.086060000014098E-3</v>
      </c>
      <c r="H31" s="622">
        <v>-1.0831410000020525E-2</v>
      </c>
      <c r="I31" s="622">
        <v>0</v>
      </c>
      <c r="J31" s="622"/>
      <c r="K31" s="631"/>
    </row>
    <row r="32" spans="1:11" s="2" customFormat="1">
      <c r="A32" s="3">
        <v>7</v>
      </c>
      <c r="B32" s="543" t="s">
        <v>545</v>
      </c>
      <c r="C32" s="158" t="s">
        <v>128</v>
      </c>
      <c r="D32" s="621">
        <v>1.6279455322161742</v>
      </c>
      <c r="E32" s="622">
        <v>2.2464793809354897</v>
      </c>
      <c r="F32" s="622">
        <v>2.5657421772607067</v>
      </c>
      <c r="G32" s="622">
        <v>2.1428932603281079</v>
      </c>
      <c r="H32" s="622">
        <v>1.8761140696755239</v>
      </c>
      <c r="I32" s="622">
        <v>1.143840151411702</v>
      </c>
      <c r="J32" s="622"/>
      <c r="K32" s="631"/>
    </row>
    <row r="33" spans="1:11" s="2" customFormat="1">
      <c r="A33" s="3">
        <v>8</v>
      </c>
      <c r="B33" s="543" t="s">
        <v>546</v>
      </c>
      <c r="C33" s="158" t="s">
        <v>128</v>
      </c>
      <c r="D33" s="621">
        <v>1.6084711777920002</v>
      </c>
      <c r="E33" s="622">
        <v>2.3808030919480516</v>
      </c>
      <c r="F33" s="622">
        <v>2.4355584000000001</v>
      </c>
      <c r="G33" s="622">
        <v>4.2031404036883258</v>
      </c>
      <c r="H33" s="622">
        <v>2.6195126467283587</v>
      </c>
      <c r="I33" s="622">
        <v>2.7216736399507648</v>
      </c>
      <c r="J33" s="622"/>
      <c r="K33" s="631"/>
    </row>
    <row r="34" spans="1:11" s="2" customFormat="1">
      <c r="A34" s="3">
        <v>9</v>
      </c>
      <c r="B34" s="543" t="s">
        <v>243</v>
      </c>
      <c r="C34" s="158" t="s">
        <v>128</v>
      </c>
      <c r="D34" s="621">
        <v>0</v>
      </c>
      <c r="E34" s="622">
        <v>0</v>
      </c>
      <c r="F34" s="622">
        <v>0</v>
      </c>
      <c r="G34" s="622">
        <v>0</v>
      </c>
      <c r="H34" s="622">
        <v>0</v>
      </c>
      <c r="I34" s="622">
        <v>0</v>
      </c>
      <c r="J34" s="622"/>
      <c r="K34" s="631"/>
    </row>
    <row r="35" spans="1:11" s="2" customFormat="1">
      <c r="A35" s="3">
        <v>10</v>
      </c>
      <c r="B35" s="543" t="s">
        <v>243</v>
      </c>
      <c r="C35" s="158" t="s">
        <v>128</v>
      </c>
      <c r="D35" s="621">
        <v>0</v>
      </c>
      <c r="E35" s="622">
        <v>0</v>
      </c>
      <c r="F35" s="622">
        <v>0</v>
      </c>
      <c r="G35" s="622">
        <v>0</v>
      </c>
      <c r="H35" s="622">
        <v>0</v>
      </c>
      <c r="I35" s="622">
        <v>0</v>
      </c>
      <c r="J35" s="622"/>
      <c r="K35" s="631"/>
    </row>
    <row r="36" spans="1:11" s="2" customFormat="1">
      <c r="A36" s="3">
        <v>11</v>
      </c>
      <c r="B36" s="543" t="s">
        <v>243</v>
      </c>
      <c r="C36" s="158" t="s">
        <v>128</v>
      </c>
      <c r="D36" s="621">
        <v>0</v>
      </c>
      <c r="E36" s="622">
        <v>0</v>
      </c>
      <c r="F36" s="622">
        <v>0</v>
      </c>
      <c r="G36" s="622">
        <v>0</v>
      </c>
      <c r="H36" s="622">
        <v>0</v>
      </c>
      <c r="I36" s="622">
        <v>0</v>
      </c>
      <c r="J36" s="622"/>
      <c r="K36" s="631"/>
    </row>
    <row r="37" spans="1:11" s="2" customFormat="1">
      <c r="A37" s="3">
        <v>12</v>
      </c>
      <c r="B37" s="543" t="s">
        <v>243</v>
      </c>
      <c r="C37" s="158" t="s">
        <v>128</v>
      </c>
      <c r="D37" s="621">
        <v>0</v>
      </c>
      <c r="E37" s="622">
        <v>0</v>
      </c>
      <c r="F37" s="622">
        <v>0</v>
      </c>
      <c r="G37" s="622">
        <v>0</v>
      </c>
      <c r="H37" s="622">
        <v>0</v>
      </c>
      <c r="I37" s="622">
        <v>0</v>
      </c>
      <c r="J37" s="622"/>
      <c r="K37" s="631"/>
    </row>
    <row r="38" spans="1:11" s="2" customFormat="1">
      <c r="A38" s="3">
        <v>13</v>
      </c>
      <c r="B38" s="543" t="s">
        <v>243</v>
      </c>
      <c r="C38" s="158" t="s">
        <v>128</v>
      </c>
      <c r="D38" s="621">
        <v>0</v>
      </c>
      <c r="E38" s="622">
        <v>0</v>
      </c>
      <c r="F38" s="622">
        <v>0</v>
      </c>
      <c r="G38" s="622">
        <v>0</v>
      </c>
      <c r="H38" s="622">
        <v>0</v>
      </c>
      <c r="I38" s="622">
        <v>0</v>
      </c>
      <c r="J38" s="622"/>
      <c r="K38" s="631"/>
    </row>
    <row r="39" spans="1:11" s="2" customFormat="1">
      <c r="A39" s="3">
        <v>14</v>
      </c>
      <c r="B39" s="543" t="s">
        <v>243</v>
      </c>
      <c r="C39" s="158" t="s">
        <v>128</v>
      </c>
      <c r="D39" s="621">
        <v>0</v>
      </c>
      <c r="E39" s="622">
        <v>0</v>
      </c>
      <c r="F39" s="622">
        <v>0</v>
      </c>
      <c r="G39" s="622">
        <v>0</v>
      </c>
      <c r="H39" s="622">
        <v>0</v>
      </c>
      <c r="I39" s="622">
        <v>0</v>
      </c>
      <c r="J39" s="622"/>
      <c r="K39" s="631"/>
    </row>
    <row r="40" spans="1:11" s="2" customFormat="1">
      <c r="A40" s="3">
        <v>15</v>
      </c>
      <c r="B40" s="543" t="s">
        <v>243</v>
      </c>
      <c r="C40" s="158" t="s">
        <v>128</v>
      </c>
      <c r="D40" s="621">
        <v>0</v>
      </c>
      <c r="E40" s="622">
        <v>0</v>
      </c>
      <c r="F40" s="622">
        <v>0</v>
      </c>
      <c r="G40" s="622">
        <v>0</v>
      </c>
      <c r="H40" s="622">
        <v>0</v>
      </c>
      <c r="I40" s="622">
        <v>0</v>
      </c>
      <c r="J40" s="622"/>
      <c r="K40" s="631"/>
    </row>
    <row r="41" spans="1:11" s="2" customFormat="1">
      <c r="A41" s="3">
        <v>16</v>
      </c>
      <c r="B41" s="543" t="s">
        <v>243</v>
      </c>
      <c r="C41" s="158" t="s">
        <v>128</v>
      </c>
      <c r="D41" s="621">
        <v>0</v>
      </c>
      <c r="E41" s="622">
        <v>0</v>
      </c>
      <c r="F41" s="622">
        <v>0</v>
      </c>
      <c r="G41" s="622">
        <v>0</v>
      </c>
      <c r="H41" s="622">
        <v>0</v>
      </c>
      <c r="I41" s="622">
        <v>0</v>
      </c>
      <c r="J41" s="622"/>
      <c r="K41" s="631"/>
    </row>
    <row r="42" spans="1:11" s="2" customFormat="1">
      <c r="A42" s="3">
        <v>17</v>
      </c>
      <c r="B42" s="543" t="s">
        <v>243</v>
      </c>
      <c r="C42" s="158" t="s">
        <v>128</v>
      </c>
      <c r="D42" s="621">
        <v>0</v>
      </c>
      <c r="E42" s="622">
        <v>0</v>
      </c>
      <c r="F42" s="622">
        <v>0</v>
      </c>
      <c r="G42" s="622">
        <v>0</v>
      </c>
      <c r="H42" s="622">
        <v>0</v>
      </c>
      <c r="I42" s="622">
        <v>0</v>
      </c>
      <c r="J42" s="622"/>
      <c r="K42" s="631"/>
    </row>
    <row r="43" spans="1:11" s="2" customFormat="1">
      <c r="A43" s="3">
        <v>18</v>
      </c>
      <c r="B43" s="543" t="s">
        <v>243</v>
      </c>
      <c r="C43" s="158" t="s">
        <v>128</v>
      </c>
      <c r="D43" s="621">
        <v>0</v>
      </c>
      <c r="E43" s="622">
        <v>0</v>
      </c>
      <c r="F43" s="622">
        <v>0</v>
      </c>
      <c r="G43" s="622">
        <v>0</v>
      </c>
      <c r="H43" s="622">
        <v>0</v>
      </c>
      <c r="I43" s="622">
        <v>0</v>
      </c>
      <c r="J43" s="622"/>
      <c r="K43" s="631"/>
    </row>
    <row r="44" spans="1:11" s="2" customFormat="1">
      <c r="A44" s="3">
        <v>19</v>
      </c>
      <c r="B44" s="543" t="s">
        <v>243</v>
      </c>
      <c r="C44" s="158" t="s">
        <v>128</v>
      </c>
      <c r="D44" s="621">
        <v>0</v>
      </c>
      <c r="E44" s="622">
        <v>0</v>
      </c>
      <c r="F44" s="622">
        <v>0</v>
      </c>
      <c r="G44" s="622">
        <v>0</v>
      </c>
      <c r="H44" s="622">
        <v>0</v>
      </c>
      <c r="I44" s="622">
        <v>0</v>
      </c>
      <c r="J44" s="622"/>
      <c r="K44" s="631"/>
    </row>
    <row r="45" spans="1:11" s="2" customFormat="1">
      <c r="A45" s="3">
        <v>20</v>
      </c>
      <c r="B45" s="543" t="s">
        <v>243</v>
      </c>
      <c r="C45" s="158" t="s">
        <v>128</v>
      </c>
      <c r="D45" s="621">
        <v>0</v>
      </c>
      <c r="E45" s="622">
        <v>0</v>
      </c>
      <c r="F45" s="622">
        <v>0</v>
      </c>
      <c r="G45" s="622">
        <v>0</v>
      </c>
      <c r="H45" s="622">
        <v>0</v>
      </c>
      <c r="I45" s="622">
        <v>0</v>
      </c>
      <c r="J45" s="622"/>
      <c r="K45" s="631"/>
    </row>
    <row r="46" spans="1:11" s="2" customFormat="1">
      <c r="B46" s="12" t="s">
        <v>386</v>
      </c>
      <c r="C46" s="158" t="s">
        <v>128</v>
      </c>
      <c r="D46" s="635">
        <f>SUM(D26:D45)</f>
        <v>-50.792458197327221</v>
      </c>
      <c r="E46" s="636">
        <f t="shared" ref="E46:K46" si="3">SUM(E26:E45)</f>
        <v>-59.864268944580793</v>
      </c>
      <c r="F46" s="636">
        <f t="shared" si="3"/>
        <v>-23.533626195975124</v>
      </c>
      <c r="G46" s="636">
        <f t="shared" si="3"/>
        <v>-11.236918486181509</v>
      </c>
      <c r="H46" s="636">
        <f t="shared" si="3"/>
        <v>-6.2263816027143726</v>
      </c>
      <c r="I46" s="636">
        <f t="shared" si="3"/>
        <v>4.8311135663899378</v>
      </c>
      <c r="J46" s="636">
        <f t="shared" si="3"/>
        <v>0</v>
      </c>
      <c r="K46" s="637">
        <f t="shared" si="3"/>
        <v>0</v>
      </c>
    </row>
    <row r="47" spans="1:11" s="2" customFormat="1">
      <c r="C47" s="142"/>
      <c r="D47" s="54"/>
      <c r="E47" s="53"/>
      <c r="F47" s="53"/>
      <c r="G47" s="53"/>
      <c r="H47" s="53"/>
      <c r="I47" s="53"/>
      <c r="J47" s="53"/>
      <c r="K47" s="53"/>
    </row>
    <row r="48" spans="1:11" s="2" customFormat="1">
      <c r="B48" s="12" t="s">
        <v>432</v>
      </c>
      <c r="C48" s="158" t="s">
        <v>128</v>
      </c>
      <c r="D48" s="635">
        <f>D46+D23</f>
        <v>263.25396693267277</v>
      </c>
      <c r="E48" s="636">
        <f t="shared" ref="E48:K48" si="4">E46+E23</f>
        <v>320.86058819541927</v>
      </c>
      <c r="F48" s="636">
        <f t="shared" si="4"/>
        <v>403.22444173402488</v>
      </c>
      <c r="G48" s="636">
        <f t="shared" si="4"/>
        <v>388.56866930381852</v>
      </c>
      <c r="H48" s="636">
        <f t="shared" si="4"/>
        <v>288.54854638728528</v>
      </c>
      <c r="I48" s="636">
        <f t="shared" si="4"/>
        <v>238.24655029639058</v>
      </c>
      <c r="J48" s="636">
        <f t="shared" si="4"/>
        <v>0</v>
      </c>
      <c r="K48" s="637">
        <f t="shared" si="4"/>
        <v>0</v>
      </c>
    </row>
    <row r="49" spans="1:11" s="2" customFormat="1">
      <c r="B49" s="2" t="s">
        <v>387</v>
      </c>
      <c r="C49" s="158" t="s">
        <v>128</v>
      </c>
      <c r="D49" s="619">
        <v>263.25396693267277</v>
      </c>
      <c r="E49" s="620">
        <v>320.86058819541927</v>
      </c>
      <c r="F49" s="620">
        <v>403.22444173402488</v>
      </c>
      <c r="G49" s="620">
        <v>388.56866930381852</v>
      </c>
      <c r="H49" s="620">
        <v>288.54709658728541</v>
      </c>
      <c r="I49" s="620">
        <v>238.24655029639058</v>
      </c>
      <c r="J49" s="620"/>
      <c r="K49" s="630"/>
    </row>
    <row r="50" spans="1:11" s="2" customFormat="1">
      <c r="C50" s="142" t="s">
        <v>390</v>
      </c>
      <c r="D50" s="666" t="str">
        <f>IF(D$5="Actuals",IF(ABS(D48-D49)&lt;1,"OK","ERROR"),"N/A")</f>
        <v>OK</v>
      </c>
      <c r="E50" s="667" t="str">
        <f t="shared" ref="E50:K50" si="5">IF(E$5="Actuals",IF(ABS(E48-E49)&lt;1,"OK","ERROR"),"N/A")</f>
        <v>OK</v>
      </c>
      <c r="F50" s="667" t="str">
        <f t="shared" si="5"/>
        <v>OK</v>
      </c>
      <c r="G50" s="667" t="str">
        <f t="shared" si="5"/>
        <v>OK</v>
      </c>
      <c r="H50" s="667" t="str">
        <f t="shared" si="5"/>
        <v>OK</v>
      </c>
      <c r="I50" s="667" t="str">
        <f t="shared" si="5"/>
        <v>OK</v>
      </c>
      <c r="J50" s="667" t="str">
        <f t="shared" si="5"/>
        <v>N/A</v>
      </c>
      <c r="K50" s="668" t="str">
        <f t="shared" si="5"/>
        <v>N/A</v>
      </c>
    </row>
    <row r="51" spans="1:11" s="2" customFormat="1">
      <c r="B51" s="2" t="s">
        <v>84</v>
      </c>
      <c r="C51" s="142"/>
      <c r="D51" s="55"/>
    </row>
    <row r="52" spans="1:11" s="2" customFormat="1">
      <c r="B52" s="12" t="s">
        <v>388</v>
      </c>
      <c r="C52" s="158"/>
      <c r="D52" s="55"/>
    </row>
    <row r="53" spans="1:11" s="2" customFormat="1">
      <c r="A53" s="3">
        <v>1</v>
      </c>
      <c r="B53" s="542" t="s">
        <v>547</v>
      </c>
      <c r="C53" s="158" t="s">
        <v>128</v>
      </c>
      <c r="D53" s="619">
        <v>14.46463452508987</v>
      </c>
      <c r="E53" s="620">
        <v>29.395565911579318</v>
      </c>
      <c r="F53" s="620">
        <v>30.196290048219527</v>
      </c>
      <c r="G53" s="620">
        <v>31.363424365716554</v>
      </c>
      <c r="H53" s="620">
        <v>39.167714748169203</v>
      </c>
      <c r="I53" s="620">
        <v>39.006503000253083</v>
      </c>
      <c r="J53" s="620"/>
      <c r="K53" s="630"/>
    </row>
    <row r="54" spans="1:11" s="2" customFormat="1">
      <c r="A54" s="3">
        <v>2</v>
      </c>
      <c r="B54" s="542" t="s">
        <v>548</v>
      </c>
      <c r="C54" s="158" t="s">
        <v>128</v>
      </c>
      <c r="D54" s="621">
        <v>0.66851300000000013</v>
      </c>
      <c r="E54" s="622">
        <v>1.6725303993873082</v>
      </c>
      <c r="F54" s="622">
        <v>2.6368336617639527</v>
      </c>
      <c r="G54" s="622">
        <v>5.5072918617670688</v>
      </c>
      <c r="H54" s="622">
        <v>5.5724629974998914</v>
      </c>
      <c r="I54" s="622">
        <v>11.054100557462716</v>
      </c>
      <c r="J54" s="622"/>
      <c r="K54" s="631"/>
    </row>
    <row r="55" spans="1:11" s="2" customFormat="1">
      <c r="A55" s="3">
        <v>3</v>
      </c>
      <c r="B55" s="542" t="s">
        <v>549</v>
      </c>
      <c r="C55" s="158" t="s">
        <v>128</v>
      </c>
      <c r="D55" s="621">
        <v>0.75162524673538078</v>
      </c>
      <c r="E55" s="622">
        <v>0.81373939329596057</v>
      </c>
      <c r="F55" s="622">
        <v>1.0616729943300576</v>
      </c>
      <c r="G55" s="622">
        <v>1.1635210646886953</v>
      </c>
      <c r="H55" s="622">
        <v>0.82376217199350177</v>
      </c>
      <c r="I55" s="622">
        <v>0.49858846999999995</v>
      </c>
      <c r="J55" s="622"/>
      <c r="K55" s="631"/>
    </row>
    <row r="56" spans="1:11" s="2" customFormat="1">
      <c r="A56" s="3">
        <v>4</v>
      </c>
      <c r="B56" s="542" t="s">
        <v>550</v>
      </c>
      <c r="C56" s="158" t="s">
        <v>128</v>
      </c>
      <c r="D56" s="621">
        <v>7.7866703941763156</v>
      </c>
      <c r="E56" s="622">
        <v>9.1631017647763944</v>
      </c>
      <c r="F56" s="622">
        <v>13.731965201120587</v>
      </c>
      <c r="G56" s="622">
        <v>4.8868788758711554</v>
      </c>
      <c r="H56" s="622">
        <v>4.1856394230875491</v>
      </c>
      <c r="I56" s="622">
        <v>0</v>
      </c>
      <c r="J56" s="622"/>
      <c r="K56" s="631"/>
    </row>
    <row r="57" spans="1:11" s="2" customFormat="1">
      <c r="A57" s="3">
        <v>5</v>
      </c>
      <c r="B57" s="542" t="s">
        <v>243</v>
      </c>
      <c r="C57" s="158" t="s">
        <v>128</v>
      </c>
      <c r="D57" s="621">
        <v>0</v>
      </c>
      <c r="E57" s="622">
        <v>0</v>
      </c>
      <c r="F57" s="622">
        <v>0</v>
      </c>
      <c r="G57" s="622">
        <v>0</v>
      </c>
      <c r="H57" s="622">
        <v>0</v>
      </c>
      <c r="I57" s="622">
        <v>0</v>
      </c>
      <c r="J57" s="622"/>
      <c r="K57" s="631"/>
    </row>
    <row r="58" spans="1:11" s="2" customFormat="1">
      <c r="A58" s="3">
        <v>6</v>
      </c>
      <c r="B58" s="542" t="s">
        <v>243</v>
      </c>
      <c r="C58" s="158" t="s">
        <v>128</v>
      </c>
      <c r="D58" s="621">
        <v>0</v>
      </c>
      <c r="E58" s="622">
        <v>0</v>
      </c>
      <c r="F58" s="622">
        <v>0</v>
      </c>
      <c r="G58" s="622">
        <v>0</v>
      </c>
      <c r="H58" s="622">
        <v>0</v>
      </c>
      <c r="I58" s="622">
        <v>0</v>
      </c>
      <c r="J58" s="622"/>
      <c r="K58" s="631"/>
    </row>
    <row r="59" spans="1:11" s="2" customFormat="1">
      <c r="A59" s="3">
        <v>7</v>
      </c>
      <c r="B59" s="542" t="s">
        <v>243</v>
      </c>
      <c r="C59" s="158" t="s">
        <v>128</v>
      </c>
      <c r="D59" s="621">
        <v>0</v>
      </c>
      <c r="E59" s="622">
        <v>0</v>
      </c>
      <c r="F59" s="622">
        <v>0</v>
      </c>
      <c r="G59" s="622">
        <v>0</v>
      </c>
      <c r="H59" s="622">
        <v>0</v>
      </c>
      <c r="I59" s="622">
        <v>0</v>
      </c>
      <c r="J59" s="622"/>
      <c r="K59" s="631"/>
    </row>
    <row r="60" spans="1:11" s="2" customFormat="1">
      <c r="A60" s="3">
        <v>8</v>
      </c>
      <c r="B60" s="542" t="s">
        <v>243</v>
      </c>
      <c r="C60" s="158" t="s">
        <v>128</v>
      </c>
      <c r="D60" s="621">
        <v>0</v>
      </c>
      <c r="E60" s="622">
        <v>0</v>
      </c>
      <c r="F60" s="622">
        <v>0</v>
      </c>
      <c r="G60" s="622">
        <v>0</v>
      </c>
      <c r="H60" s="622">
        <v>0</v>
      </c>
      <c r="I60" s="622">
        <v>0</v>
      </c>
      <c r="J60" s="622"/>
      <c r="K60" s="631"/>
    </row>
    <row r="61" spans="1:11" s="2" customFormat="1">
      <c r="A61" s="3">
        <v>9</v>
      </c>
      <c r="B61" s="542" t="s">
        <v>243</v>
      </c>
      <c r="C61" s="158" t="s">
        <v>128</v>
      </c>
      <c r="D61" s="621">
        <v>0</v>
      </c>
      <c r="E61" s="622">
        <v>0</v>
      </c>
      <c r="F61" s="622">
        <v>0</v>
      </c>
      <c r="G61" s="622">
        <v>0</v>
      </c>
      <c r="H61" s="622">
        <v>0</v>
      </c>
      <c r="I61" s="622">
        <v>0</v>
      </c>
      <c r="J61" s="622"/>
      <c r="K61" s="631"/>
    </row>
    <row r="62" spans="1:11" s="2" customFormat="1">
      <c r="A62" s="3">
        <v>10</v>
      </c>
      <c r="B62" s="542" t="s">
        <v>243</v>
      </c>
      <c r="C62" s="158" t="s">
        <v>128</v>
      </c>
      <c r="D62" s="621">
        <v>0</v>
      </c>
      <c r="E62" s="622">
        <v>0</v>
      </c>
      <c r="F62" s="622">
        <v>0</v>
      </c>
      <c r="G62" s="622">
        <v>0</v>
      </c>
      <c r="H62" s="622">
        <v>0</v>
      </c>
      <c r="I62" s="622">
        <v>0</v>
      </c>
      <c r="J62" s="622"/>
      <c r="K62" s="631"/>
    </row>
    <row r="63" spans="1:11" s="2" customFormat="1">
      <c r="A63" s="3">
        <v>11</v>
      </c>
      <c r="B63" s="542" t="s">
        <v>243</v>
      </c>
      <c r="C63" s="158" t="s">
        <v>128</v>
      </c>
      <c r="D63" s="621">
        <v>0</v>
      </c>
      <c r="E63" s="622">
        <v>0</v>
      </c>
      <c r="F63" s="622">
        <v>0</v>
      </c>
      <c r="G63" s="622">
        <v>0</v>
      </c>
      <c r="H63" s="622">
        <v>0</v>
      </c>
      <c r="I63" s="622">
        <v>0</v>
      </c>
      <c r="J63" s="622"/>
      <c r="K63" s="631"/>
    </row>
    <row r="64" spans="1:11" s="2" customFormat="1">
      <c r="A64" s="3">
        <v>12</v>
      </c>
      <c r="B64" s="542" t="s">
        <v>243</v>
      </c>
      <c r="C64" s="158" t="s">
        <v>128</v>
      </c>
      <c r="D64" s="621">
        <v>0</v>
      </c>
      <c r="E64" s="622">
        <v>0</v>
      </c>
      <c r="F64" s="622">
        <v>0</v>
      </c>
      <c r="G64" s="622">
        <v>0</v>
      </c>
      <c r="H64" s="622">
        <v>0</v>
      </c>
      <c r="I64" s="622">
        <v>0</v>
      </c>
      <c r="J64" s="622"/>
      <c r="K64" s="631"/>
    </row>
    <row r="65" spans="1:11" s="2" customFormat="1">
      <c r="A65" s="3">
        <v>13</v>
      </c>
      <c r="B65" s="542" t="s">
        <v>243</v>
      </c>
      <c r="C65" s="158" t="s">
        <v>128</v>
      </c>
      <c r="D65" s="621">
        <v>0</v>
      </c>
      <c r="E65" s="622">
        <v>0</v>
      </c>
      <c r="F65" s="622">
        <v>0</v>
      </c>
      <c r="G65" s="622">
        <v>0</v>
      </c>
      <c r="H65" s="622">
        <v>0</v>
      </c>
      <c r="I65" s="622">
        <v>0</v>
      </c>
      <c r="J65" s="622"/>
      <c r="K65" s="631"/>
    </row>
    <row r="66" spans="1:11" s="2" customFormat="1">
      <c r="A66" s="3">
        <v>14</v>
      </c>
      <c r="B66" s="542" t="s">
        <v>243</v>
      </c>
      <c r="C66" s="158" t="s">
        <v>128</v>
      </c>
      <c r="D66" s="621">
        <v>0</v>
      </c>
      <c r="E66" s="622">
        <v>0</v>
      </c>
      <c r="F66" s="622">
        <v>0</v>
      </c>
      <c r="G66" s="622">
        <v>0</v>
      </c>
      <c r="H66" s="622">
        <v>0</v>
      </c>
      <c r="I66" s="622">
        <v>0</v>
      </c>
      <c r="J66" s="622"/>
      <c r="K66" s="631"/>
    </row>
    <row r="67" spans="1:11" s="2" customFormat="1">
      <c r="A67" s="3">
        <v>15</v>
      </c>
      <c r="B67" s="542" t="s">
        <v>243</v>
      </c>
      <c r="C67" s="158" t="s">
        <v>128</v>
      </c>
      <c r="D67" s="621">
        <v>0</v>
      </c>
      <c r="E67" s="622">
        <v>0</v>
      </c>
      <c r="F67" s="622">
        <v>0</v>
      </c>
      <c r="G67" s="622">
        <v>0</v>
      </c>
      <c r="H67" s="622">
        <v>0</v>
      </c>
      <c r="I67" s="622">
        <v>0</v>
      </c>
      <c r="J67" s="622"/>
      <c r="K67" s="631"/>
    </row>
    <row r="68" spans="1:11" s="2" customFormat="1">
      <c r="A68" s="3">
        <v>16</v>
      </c>
      <c r="B68" s="542" t="s">
        <v>243</v>
      </c>
      <c r="C68" s="158" t="s">
        <v>128</v>
      </c>
      <c r="D68" s="621">
        <v>0</v>
      </c>
      <c r="E68" s="622">
        <v>0</v>
      </c>
      <c r="F68" s="622">
        <v>0</v>
      </c>
      <c r="G68" s="622">
        <v>0</v>
      </c>
      <c r="H68" s="622">
        <v>0</v>
      </c>
      <c r="I68" s="622">
        <v>0</v>
      </c>
      <c r="J68" s="622"/>
      <c r="K68" s="631"/>
    </row>
    <row r="69" spans="1:11" s="2" customFormat="1">
      <c r="A69" s="3">
        <v>17</v>
      </c>
      <c r="B69" s="542" t="s">
        <v>243</v>
      </c>
      <c r="C69" s="158" t="s">
        <v>128</v>
      </c>
      <c r="D69" s="621">
        <v>0</v>
      </c>
      <c r="E69" s="622">
        <v>0</v>
      </c>
      <c r="F69" s="622">
        <v>0</v>
      </c>
      <c r="G69" s="622">
        <v>0</v>
      </c>
      <c r="H69" s="622">
        <v>0</v>
      </c>
      <c r="I69" s="622">
        <v>0</v>
      </c>
      <c r="J69" s="622"/>
      <c r="K69" s="631"/>
    </row>
    <row r="70" spans="1:11" s="2" customFormat="1">
      <c r="A70" s="3">
        <v>18</v>
      </c>
      <c r="B70" s="542" t="s">
        <v>243</v>
      </c>
      <c r="C70" s="158" t="s">
        <v>128</v>
      </c>
      <c r="D70" s="621">
        <v>0</v>
      </c>
      <c r="E70" s="622">
        <v>0</v>
      </c>
      <c r="F70" s="622">
        <v>0</v>
      </c>
      <c r="G70" s="622">
        <v>0</v>
      </c>
      <c r="H70" s="622">
        <v>0</v>
      </c>
      <c r="I70" s="622">
        <v>0</v>
      </c>
      <c r="J70" s="622"/>
      <c r="K70" s="631"/>
    </row>
    <row r="71" spans="1:11" s="2" customFormat="1">
      <c r="A71" s="3">
        <v>19</v>
      </c>
      <c r="B71" s="542" t="s">
        <v>243</v>
      </c>
      <c r="C71" s="158" t="s">
        <v>128</v>
      </c>
      <c r="D71" s="621">
        <v>0</v>
      </c>
      <c r="E71" s="622">
        <v>0</v>
      </c>
      <c r="F71" s="622">
        <v>0</v>
      </c>
      <c r="G71" s="622">
        <v>0</v>
      </c>
      <c r="H71" s="622">
        <v>0</v>
      </c>
      <c r="I71" s="622">
        <v>0</v>
      </c>
      <c r="J71" s="622"/>
      <c r="K71" s="631"/>
    </row>
    <row r="72" spans="1:11" s="2" customFormat="1">
      <c r="A72" s="3">
        <v>20</v>
      </c>
      <c r="B72" s="542" t="s">
        <v>243</v>
      </c>
      <c r="C72" s="158" t="s">
        <v>128</v>
      </c>
      <c r="D72" s="621">
        <v>0</v>
      </c>
      <c r="E72" s="622">
        <v>0</v>
      </c>
      <c r="F72" s="622">
        <v>0</v>
      </c>
      <c r="G72" s="622">
        <v>0</v>
      </c>
      <c r="H72" s="622">
        <v>0</v>
      </c>
      <c r="I72" s="622">
        <v>0</v>
      </c>
      <c r="J72" s="622"/>
      <c r="K72" s="631"/>
    </row>
    <row r="73" spans="1:11" s="2" customFormat="1">
      <c r="A73" s="3">
        <v>21</v>
      </c>
      <c r="B73" s="542" t="s">
        <v>243</v>
      </c>
      <c r="C73" s="158" t="s">
        <v>128</v>
      </c>
      <c r="D73" s="621">
        <v>0</v>
      </c>
      <c r="E73" s="622">
        <v>0</v>
      </c>
      <c r="F73" s="622">
        <v>0</v>
      </c>
      <c r="G73" s="622">
        <v>0</v>
      </c>
      <c r="H73" s="622">
        <v>0</v>
      </c>
      <c r="I73" s="622">
        <v>0</v>
      </c>
      <c r="J73" s="622"/>
      <c r="K73" s="631"/>
    </row>
    <row r="74" spans="1:11" s="2" customFormat="1">
      <c r="A74" s="3">
        <v>22</v>
      </c>
      <c r="B74" s="542" t="s">
        <v>243</v>
      </c>
      <c r="C74" s="158" t="s">
        <v>128</v>
      </c>
      <c r="D74" s="621">
        <v>0</v>
      </c>
      <c r="E74" s="622">
        <v>0</v>
      </c>
      <c r="F74" s="622">
        <v>0</v>
      </c>
      <c r="G74" s="622">
        <v>0</v>
      </c>
      <c r="H74" s="622">
        <v>0</v>
      </c>
      <c r="I74" s="622">
        <v>0</v>
      </c>
      <c r="J74" s="622"/>
      <c r="K74" s="631"/>
    </row>
    <row r="75" spans="1:11" s="2" customFormat="1">
      <c r="A75" s="3">
        <v>23</v>
      </c>
      <c r="B75" s="542" t="s">
        <v>243</v>
      </c>
      <c r="C75" s="158" t="s">
        <v>128</v>
      </c>
      <c r="D75" s="621">
        <v>0</v>
      </c>
      <c r="E75" s="622">
        <v>0</v>
      </c>
      <c r="F75" s="622">
        <v>0</v>
      </c>
      <c r="G75" s="622">
        <v>0</v>
      </c>
      <c r="H75" s="622">
        <v>0</v>
      </c>
      <c r="I75" s="622">
        <v>0</v>
      </c>
      <c r="J75" s="622"/>
      <c r="K75" s="631"/>
    </row>
    <row r="76" spans="1:11" s="2" customFormat="1">
      <c r="A76" s="3">
        <v>24</v>
      </c>
      <c r="B76" s="542" t="s">
        <v>243</v>
      </c>
      <c r="C76" s="158" t="s">
        <v>128</v>
      </c>
      <c r="D76" s="621">
        <v>0</v>
      </c>
      <c r="E76" s="622">
        <v>0</v>
      </c>
      <c r="F76" s="622">
        <v>0</v>
      </c>
      <c r="G76" s="622">
        <v>0</v>
      </c>
      <c r="H76" s="622">
        <v>0</v>
      </c>
      <c r="I76" s="622">
        <v>0</v>
      </c>
      <c r="J76" s="622"/>
      <c r="K76" s="631"/>
    </row>
    <row r="77" spans="1:11" s="2" customFormat="1">
      <c r="A77" s="3">
        <v>25</v>
      </c>
      <c r="B77" s="542" t="s">
        <v>243</v>
      </c>
      <c r="C77" s="158" t="s">
        <v>128</v>
      </c>
      <c r="D77" s="657">
        <v>0</v>
      </c>
      <c r="E77" s="658">
        <v>0</v>
      </c>
      <c r="F77" s="658">
        <v>0</v>
      </c>
      <c r="G77" s="658">
        <v>0</v>
      </c>
      <c r="H77" s="658">
        <v>0</v>
      </c>
      <c r="I77" s="658">
        <v>0</v>
      </c>
      <c r="J77" s="658"/>
      <c r="K77" s="659"/>
    </row>
    <row r="78" spans="1:11" s="2" customFormat="1">
      <c r="B78" s="12" t="s">
        <v>171</v>
      </c>
      <c r="C78" s="158" t="s">
        <v>128</v>
      </c>
      <c r="D78" s="635">
        <f>SUM(D53:D77)</f>
        <v>23.671443166001566</v>
      </c>
      <c r="E78" s="636">
        <f t="shared" ref="E78:K78" si="6">SUM(E53:E77)</f>
        <v>41.044937469038985</v>
      </c>
      <c r="F78" s="636">
        <f t="shared" si="6"/>
        <v>47.62676190543413</v>
      </c>
      <c r="G78" s="636">
        <f t="shared" si="6"/>
        <v>42.921116168043476</v>
      </c>
      <c r="H78" s="636">
        <f t="shared" si="6"/>
        <v>49.749579340750145</v>
      </c>
      <c r="I78" s="636">
        <f t="shared" si="6"/>
        <v>50.559192027715802</v>
      </c>
      <c r="J78" s="636">
        <f t="shared" si="6"/>
        <v>0</v>
      </c>
      <c r="K78" s="637">
        <f t="shared" si="6"/>
        <v>0</v>
      </c>
    </row>
    <row r="79" spans="1:11" s="2" customFormat="1">
      <c r="C79" s="142"/>
      <c r="D79" s="54"/>
      <c r="E79" s="53"/>
      <c r="F79" s="53"/>
      <c r="G79" s="53"/>
      <c r="H79" s="53"/>
      <c r="I79" s="53"/>
      <c r="J79" s="53"/>
      <c r="K79" s="53"/>
    </row>
    <row r="80" spans="1:11" s="2" customFormat="1">
      <c r="B80" s="12" t="s">
        <v>389</v>
      </c>
      <c r="C80" s="158" t="s">
        <v>128</v>
      </c>
      <c r="D80" s="635">
        <f>D48-D78</f>
        <v>239.58252376667122</v>
      </c>
      <c r="E80" s="636">
        <f t="shared" ref="E80:K80" si="7">E48-E78</f>
        <v>279.81565072638028</v>
      </c>
      <c r="F80" s="636">
        <f t="shared" si="7"/>
        <v>355.59767982859074</v>
      </c>
      <c r="G80" s="636">
        <f t="shared" si="7"/>
        <v>345.64755313577507</v>
      </c>
      <c r="H80" s="636">
        <f t="shared" si="7"/>
        <v>238.79896704653515</v>
      </c>
      <c r="I80" s="636">
        <f t="shared" si="7"/>
        <v>187.68735826867479</v>
      </c>
      <c r="J80" s="636">
        <f t="shared" si="7"/>
        <v>0</v>
      </c>
      <c r="K80" s="637">
        <f t="shared" si="7"/>
        <v>0</v>
      </c>
    </row>
    <row r="81" spans="2:11" s="2" customFormat="1">
      <c r="B81" s="12" t="s">
        <v>477</v>
      </c>
      <c r="C81" s="158" t="s">
        <v>128</v>
      </c>
      <c r="D81" s="669">
        <f>'R4 - Totex'!D92+'R4 - Totex'!D120</f>
        <v>239.58219065383591</v>
      </c>
      <c r="E81" s="670">
        <f>'R4 - Totex'!E92+'R4 - Totex'!E120</f>
        <v>279.8152616738596</v>
      </c>
      <c r="F81" s="670">
        <f>'R4 - Totex'!F92+'R4 - Totex'!F120</f>
        <v>355.59718540959261</v>
      </c>
      <c r="G81" s="670">
        <f>'R4 - Totex'!G92+'R4 - Totex'!G120</f>
        <v>345.64707255132066</v>
      </c>
      <c r="H81" s="670">
        <f>'R4 - Totex'!H92+'R4 - Totex'!H120</f>
        <v>238.7971852251641</v>
      </c>
      <c r="I81" s="670">
        <f>'R4 - Totex'!I92+'R4 - Totex'!I120</f>
        <v>187.68709731029151</v>
      </c>
      <c r="J81" s="670">
        <f>'R4 - Totex'!J92+'R4 - Totex'!J120</f>
        <v>256.35086531755491</v>
      </c>
      <c r="K81" s="670">
        <f>'R4 - Totex'!K92+'R4 - Totex'!K120</f>
        <v>280.83650663616254</v>
      </c>
    </row>
    <row r="82" spans="2:11" s="2" customFormat="1">
      <c r="C82" s="142" t="s">
        <v>390</v>
      </c>
      <c r="D82" s="597" t="str">
        <f>IF(D$5="Actuals",IF(ABS(D80-('R4 - Totex'!D92+'R4 - Totex'!D120))&lt;'RFPR cover'!$F$14,"OK","Error"),"N/A")</f>
        <v>OK</v>
      </c>
      <c r="E82" s="597" t="str">
        <f>IF(E$5="Actuals",IF(ABS(E80-('R4 - Totex'!E92+'R4 - Totex'!E120))&lt;'RFPR cover'!$F$14,"OK","Error"),"N/A")</f>
        <v>OK</v>
      </c>
      <c r="F82" s="597" t="str">
        <f>IF(F$5="Actuals",IF(ABS(F80-('R4 - Totex'!F92+'R4 - Totex'!F120))&lt;'RFPR cover'!$F$14,"OK","Error"),"N/A")</f>
        <v>OK</v>
      </c>
      <c r="G82" s="597" t="str">
        <f>IF(G$5="Actuals",IF(ABS(G80-('R4 - Totex'!G92+'R4 - Totex'!G120))&lt;'RFPR cover'!$F$14,"OK","Error"),"N/A")</f>
        <v>OK</v>
      </c>
      <c r="H82" s="597" t="str">
        <f>IF(H$5="Actuals",IF(ABS(H80-('R4 - Totex'!H92+'R4 - Totex'!H120))&lt;'RFPR cover'!$F$14,"OK","Error"),"N/A")</f>
        <v>OK</v>
      </c>
      <c r="I82" s="597" t="str">
        <f>IF(I$5="Actuals",IF(ABS(I80-('R4 - Totex'!I92+'R4 - Totex'!I120))&lt;'RFPR cover'!$F$14,"OK","Error"),"N/A")</f>
        <v>OK</v>
      </c>
      <c r="J82" s="597" t="str">
        <f>IF(J$5="Actuals",IF(ABS(J80-('R4 - Totex'!J92+'R4 - Totex'!J120))&lt;'RFPR cover'!$F$14,"OK","Error"),"N/A")</f>
        <v>N/A</v>
      </c>
      <c r="K82" s="597" t="str">
        <f>IF(K$5="Actuals",IF(ABS(K80-('R4 - Totex'!K92+'R4 - Totex'!K120))&lt;'RFPR cover'!$F$14,"OK","Error"),"N/A")</f>
        <v>N/A</v>
      </c>
    </row>
    <row r="83" spans="2:11" s="2" customFormat="1">
      <c r="C83" s="142"/>
    </row>
    <row r="84" spans="2:11">
      <c r="D84" s="222"/>
      <c r="E84" s="222"/>
      <c r="F84" s="222"/>
      <c r="G84" s="222"/>
      <c r="H84" s="222"/>
      <c r="I84" s="222"/>
      <c r="J84" s="222"/>
      <c r="K84" s="222"/>
    </row>
    <row r="85" spans="2:11">
      <c r="D85" s="222"/>
      <c r="E85" s="222"/>
      <c r="F85" s="222"/>
      <c r="G85" s="222"/>
      <c r="H85" s="222"/>
      <c r="I85" s="222"/>
      <c r="J85" s="222"/>
      <c r="K85" s="222"/>
    </row>
    <row r="86" spans="2:11">
      <c r="D86" s="222"/>
      <c r="E86" s="222"/>
      <c r="F86" s="222"/>
      <c r="G86" s="222"/>
      <c r="H86" s="222"/>
      <c r="I86" s="222"/>
      <c r="J86" s="222"/>
      <c r="K86" s="222"/>
    </row>
  </sheetData>
  <conditionalFormatting sqref="D6:J6">
    <cfRule type="expression" dxfId="44" priority="37">
      <formula>AND(D$5="Actuals",E$5="N/A")</formula>
    </cfRule>
  </conditionalFormatting>
  <conditionalFormatting sqref="D5:K5">
    <cfRule type="expression" dxfId="43" priority="28">
      <formula>AND(D$5="Actuals",E$5="N/A")</formula>
    </cfRule>
  </conditionalFormatting>
  <conditionalFormatting sqref="D9:K14 D26:K46 D48:K50 D53:K78 D80:K80 D82:K82 D18:K19 D23:K23">
    <cfRule type="expression" dxfId="42" priority="23">
      <formula>D$5="N/A"</formula>
    </cfRule>
  </conditionalFormatting>
  <conditionalFormatting sqref="D15:K17">
    <cfRule type="expression" dxfId="41" priority="22">
      <formula>D$5="N/A"</formula>
    </cfRule>
  </conditionalFormatting>
  <conditionalFormatting sqref="D20:K22">
    <cfRule type="expression" dxfId="40" priority="2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P156"/>
  <sheetViews>
    <sheetView showGridLines="0" zoomScale="80" zoomScaleNormal="80" workbookViewId="0">
      <pane ySplit="6" topLeftCell="A7" activePane="bottomLeft" state="frozen"/>
      <selection activeCell="B75" sqref="A1:XFD1048576"/>
      <selection pane="bottomLeft" activeCell="A7" sqref="A7"/>
    </sheetView>
  </sheetViews>
  <sheetFormatPr defaultColWidth="9.125" defaultRowHeight="12.75"/>
  <cols>
    <col min="1" max="1" width="8.375" style="2" customWidth="1"/>
    <col min="2" max="2" width="75.5" style="132" customWidth="1"/>
    <col min="3" max="3" width="13.375" style="142" customWidth="1"/>
    <col min="4" max="11" width="11.125" style="2" customWidth="1"/>
    <col min="12" max="13" width="12.875" style="2" customWidth="1"/>
    <col min="14" max="14" width="25.5" style="2" customWidth="1"/>
    <col min="15" max="16384" width="9.125" style="2"/>
  </cols>
  <sheetData>
    <row r="1" spans="1:16" s="32" customFormat="1" ht="20.25">
      <c r="A1" s="379" t="s">
        <v>99</v>
      </c>
      <c r="B1" s="410"/>
      <c r="C1" s="288"/>
      <c r="D1" s="265"/>
      <c r="E1" s="265"/>
      <c r="F1" s="265"/>
      <c r="G1" s="265"/>
      <c r="H1" s="265"/>
      <c r="I1" s="266"/>
      <c r="J1" s="266"/>
      <c r="K1" s="267"/>
      <c r="L1" s="267"/>
      <c r="M1" s="267"/>
      <c r="N1" s="267"/>
      <c r="O1" s="380"/>
    </row>
    <row r="2" spans="1:16" s="32" customFormat="1" ht="20.25">
      <c r="A2" s="124" t="str">
        <f>'RFPR cover'!C5</f>
        <v>SPT</v>
      </c>
      <c r="B2" s="411"/>
      <c r="C2" s="140"/>
      <c r="D2" s="30"/>
      <c r="E2" s="30"/>
      <c r="F2" s="30"/>
      <c r="G2" s="30"/>
      <c r="H2" s="30"/>
      <c r="I2" s="27"/>
      <c r="J2" s="27"/>
      <c r="K2" s="27"/>
      <c r="L2" s="27"/>
      <c r="M2" s="27"/>
      <c r="N2" s="27"/>
      <c r="O2" s="125"/>
    </row>
    <row r="3" spans="1:16" s="32" customFormat="1" ht="20.25">
      <c r="A3" s="269">
        <f>'RFPR cover'!C7</f>
        <v>2019</v>
      </c>
      <c r="B3" s="412"/>
      <c r="C3" s="287"/>
      <c r="D3" s="270"/>
      <c r="E3" s="270"/>
      <c r="F3" s="270"/>
      <c r="G3" s="270"/>
      <c r="H3" s="270"/>
      <c r="I3" s="263"/>
      <c r="J3" s="263"/>
      <c r="K3" s="263"/>
      <c r="L3" s="263"/>
      <c r="M3" s="263"/>
      <c r="N3" s="263"/>
      <c r="O3" s="271"/>
    </row>
    <row r="4" spans="1:16" ht="12.75" customHeight="1"/>
    <row r="5" spans="1:16" ht="12.75" customHeight="1">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6" ht="27.75" customHeight="1">
      <c r="B6" s="804"/>
      <c r="D6" s="117">
        <f>'RFPR cover'!$C$13</f>
        <v>2014</v>
      </c>
      <c r="E6" s="118">
        <f>D6+1</f>
        <v>2015</v>
      </c>
      <c r="F6" s="118">
        <f t="shared" ref="F6:K6" si="0">E6+1</f>
        <v>2016</v>
      </c>
      <c r="G6" s="118">
        <f t="shared" si="0"/>
        <v>2017</v>
      </c>
      <c r="H6" s="118">
        <f t="shared" si="0"/>
        <v>2018</v>
      </c>
      <c r="I6" s="118">
        <f t="shared" si="0"/>
        <v>2019</v>
      </c>
      <c r="J6" s="118">
        <f t="shared" si="0"/>
        <v>2020</v>
      </c>
      <c r="K6" s="118">
        <f t="shared" si="0"/>
        <v>2021</v>
      </c>
      <c r="L6" s="101" t="str">
        <f>"Cumulative to "&amp;'RFPR cover'!$C$7</f>
        <v>Cumulative to 2019</v>
      </c>
      <c r="M6" s="119" t="s">
        <v>109</v>
      </c>
      <c r="N6" s="119" t="s">
        <v>312</v>
      </c>
    </row>
    <row r="7" spans="1:16" s="36" customFormat="1">
      <c r="B7" s="805"/>
      <c r="C7" s="164"/>
      <c r="D7" s="58"/>
      <c r="E7" s="58"/>
      <c r="F7" s="58"/>
      <c r="G7" s="58"/>
      <c r="H7" s="58"/>
      <c r="I7" s="58"/>
      <c r="J7" s="58"/>
      <c r="K7" s="58"/>
      <c r="L7" s="58"/>
      <c r="M7" s="58"/>
      <c r="N7" s="58"/>
    </row>
    <row r="8" spans="1:16" s="36" customFormat="1">
      <c r="B8" s="806" t="s">
        <v>377</v>
      </c>
      <c r="C8" s="302"/>
      <c r="D8" s="336"/>
      <c r="E8" s="336"/>
      <c r="F8" s="336"/>
      <c r="G8" s="336"/>
      <c r="H8" s="336"/>
      <c r="I8" s="336"/>
      <c r="J8" s="336"/>
      <c r="K8" s="336"/>
      <c r="L8" s="336"/>
      <c r="M8" s="336"/>
      <c r="N8" s="336"/>
    </row>
    <row r="9" spans="1:16" s="36" customFormat="1">
      <c r="B9" s="805"/>
      <c r="C9" s="164"/>
      <c r="D9" s="58"/>
      <c r="E9" s="58"/>
      <c r="F9" s="58"/>
      <c r="G9" s="58"/>
      <c r="H9" s="58"/>
      <c r="I9" s="58"/>
      <c r="J9" s="58"/>
      <c r="K9" s="58"/>
      <c r="L9" s="58"/>
      <c r="M9" s="58"/>
      <c r="N9" s="58"/>
    </row>
    <row r="10" spans="1:16">
      <c r="A10" s="36"/>
      <c r="B10" s="807" t="str">
        <f>Data!B48</f>
        <v>Totex</v>
      </c>
      <c r="C10" s="156"/>
      <c r="D10" s="81"/>
      <c r="E10" s="81"/>
      <c r="F10" s="81"/>
      <c r="G10" s="81"/>
      <c r="H10" s="81"/>
      <c r="I10" s="81"/>
      <c r="J10" s="81"/>
      <c r="K10" s="81"/>
      <c r="L10" s="81"/>
      <c r="M10" s="81"/>
      <c r="N10" s="81"/>
    </row>
    <row r="11" spans="1:16" s="36" customFormat="1">
      <c r="B11" s="808"/>
      <c r="C11" s="144"/>
      <c r="D11" s="335"/>
      <c r="E11" s="335"/>
      <c r="F11" s="335"/>
      <c r="G11" s="335"/>
      <c r="H11" s="335"/>
      <c r="I11" s="335"/>
      <c r="J11" s="335"/>
      <c r="K11" s="335"/>
      <c r="L11" s="335"/>
      <c r="M11" s="335"/>
      <c r="N11" s="335"/>
    </row>
    <row r="12" spans="1:16">
      <c r="A12" s="36"/>
      <c r="B12" s="320" t="s">
        <v>34</v>
      </c>
      <c r="C12" s="161" t="str">
        <f>'RFPR cover'!$C$14</f>
        <v>£m 09/10</v>
      </c>
      <c r="D12" s="505">
        <v>205.35222053050737</v>
      </c>
      <c r="E12" s="506">
        <v>235.22657593529229</v>
      </c>
      <c r="F12" s="506">
        <v>295.74548305062029</v>
      </c>
      <c r="G12" s="506">
        <v>281.43956007419393</v>
      </c>
      <c r="H12" s="506">
        <v>187.42471031937222</v>
      </c>
      <c r="I12" s="506">
        <v>142.94224633737724</v>
      </c>
      <c r="J12" s="506">
        <v>190.24261310428045</v>
      </c>
      <c r="K12" s="506">
        <v>202.78652428606384</v>
      </c>
      <c r="L12" s="107">
        <f>SUM(D12:INDEX(D12:K12,0,MATCH('RFPR cover'!$C$7,$D$6:$K$6,0)))</f>
        <v>1348.1307962473634</v>
      </c>
      <c r="M12" s="108">
        <f>SUM(D12:K12)</f>
        <v>1741.1599336377078</v>
      </c>
      <c r="N12" s="63"/>
      <c r="O12" s="63"/>
    </row>
    <row r="13" spans="1:16" ht="25.5">
      <c r="A13" s="36"/>
      <c r="B13" s="809" t="s">
        <v>489</v>
      </c>
      <c r="C13" s="161" t="str">
        <f>'RFPR cover'!$C$14</f>
        <v>£m 09/10</v>
      </c>
      <c r="D13" s="507">
        <v>312.34545607660476</v>
      </c>
      <c r="E13" s="508">
        <v>391.51171203566685</v>
      </c>
      <c r="F13" s="508">
        <v>294.51880822061969</v>
      </c>
      <c r="G13" s="508">
        <v>147.41754109602664</v>
      </c>
      <c r="H13" s="508">
        <v>193.15526846736498</v>
      </c>
      <c r="I13" s="508">
        <v>209.94175520748794</v>
      </c>
      <c r="J13" s="508">
        <v>175.91628794609224</v>
      </c>
      <c r="K13" s="508">
        <v>74.29310458784434</v>
      </c>
      <c r="L13" s="105">
        <f>SUM(D13:INDEX(D13:K13,0,MATCH('RFPR cover'!$C$7,$D$6:$K$6,0)))</f>
        <v>1548.8905411037708</v>
      </c>
      <c r="M13" s="106">
        <f>SUM(D13:K13)</f>
        <v>1799.0999336377074</v>
      </c>
      <c r="N13" s="63"/>
      <c r="O13" s="63"/>
    </row>
    <row r="14" spans="1:16">
      <c r="A14" s="36"/>
      <c r="B14" s="810" t="s">
        <v>195</v>
      </c>
      <c r="C14" s="161" t="str">
        <f>'RFPR cover'!$C$14</f>
        <v>£m 09/10</v>
      </c>
      <c r="D14" s="102">
        <f>D13-D12</f>
        <v>106.9932355460974</v>
      </c>
      <c r="E14" s="103">
        <f t="shared" ref="E14:M14" si="1">E13-E12</f>
        <v>156.28513610037456</v>
      </c>
      <c r="F14" s="103">
        <f t="shared" si="1"/>
        <v>-1.2266748300006043</v>
      </c>
      <c r="G14" s="103">
        <f t="shared" si="1"/>
        <v>-134.0220189781673</v>
      </c>
      <c r="H14" s="103">
        <f t="shared" si="1"/>
        <v>5.7305581479927525</v>
      </c>
      <c r="I14" s="103">
        <f t="shared" si="1"/>
        <v>66.999508870110702</v>
      </c>
      <c r="J14" s="103">
        <f t="shared" si="1"/>
        <v>-14.326325158188212</v>
      </c>
      <c r="K14" s="103">
        <f t="shared" si="1"/>
        <v>-128.4934196982195</v>
      </c>
      <c r="L14" s="102">
        <f t="shared" si="1"/>
        <v>200.75974485640745</v>
      </c>
      <c r="M14" s="104">
        <f t="shared" si="1"/>
        <v>57.9399999999996</v>
      </c>
      <c r="N14" s="63"/>
      <c r="O14" s="995"/>
      <c r="P14" s="995"/>
    </row>
    <row r="15" spans="1:16">
      <c r="A15" s="36"/>
      <c r="B15" s="810"/>
      <c r="C15" s="161"/>
      <c r="D15" s="59"/>
      <c r="E15" s="59"/>
      <c r="F15" s="59"/>
      <c r="G15" s="59"/>
      <c r="H15" s="59"/>
      <c r="I15" s="59"/>
      <c r="J15" s="59"/>
      <c r="K15" s="59"/>
      <c r="L15" s="59"/>
      <c r="M15" s="59"/>
      <c r="O15" s="64"/>
      <c r="P15" s="64"/>
    </row>
    <row r="16" spans="1:16">
      <c r="A16" s="36"/>
      <c r="B16" s="804" t="s">
        <v>178</v>
      </c>
      <c r="C16" s="142" t="s">
        <v>7</v>
      </c>
      <c r="D16" s="109">
        <f>1-INDEX(Data!$D$73:$D$100,MATCH('RFPR cover'!$C$5,Data!$B$73:$B$100,0),0)</f>
        <v>0.5</v>
      </c>
      <c r="E16" s="110">
        <f>1-INDEX(Data!$D$73:$D$100,MATCH('RFPR cover'!$C$5,Data!$B$73:$B$100,0),0)</f>
        <v>0.5</v>
      </c>
      <c r="F16" s="110">
        <f>1-INDEX(Data!$D$73:$D$100,MATCH('RFPR cover'!$C$5,Data!$B$73:$B$100,0),0)</f>
        <v>0.5</v>
      </c>
      <c r="G16" s="110">
        <f>1-INDEX(Data!$D$73:$D$100,MATCH('RFPR cover'!$C$5,Data!$B$73:$B$100,0),0)</f>
        <v>0.5</v>
      </c>
      <c r="H16" s="110">
        <f>1-INDEX(Data!$D$73:$D$100,MATCH('RFPR cover'!$C$5,Data!$B$73:$B$100,0),0)</f>
        <v>0.5</v>
      </c>
      <c r="I16" s="110">
        <f>1-INDEX(Data!$D$73:$D$100,MATCH('RFPR cover'!$C$5,Data!$B$73:$B$100,0),0)</f>
        <v>0.5</v>
      </c>
      <c r="J16" s="110">
        <f>1-INDEX(Data!$D$73:$D$100,MATCH('RFPR cover'!$C$5,Data!$B$73:$B$100,0),0)</f>
        <v>0.5</v>
      </c>
      <c r="K16" s="111">
        <f>1-INDEX(Data!$D$73:$D$100,MATCH('RFPR cover'!$C$5,Data!$B$73:$B$100,0),0)</f>
        <v>0.5</v>
      </c>
      <c r="L16" s="62"/>
      <c r="M16" s="62"/>
      <c r="O16"/>
      <c r="P16"/>
    </row>
    <row r="17" spans="1:16">
      <c r="A17" s="36"/>
      <c r="B17" s="804"/>
      <c r="O17"/>
      <c r="P17"/>
    </row>
    <row r="18" spans="1:16">
      <c r="A18" s="36"/>
      <c r="B18" s="811" t="s">
        <v>183</v>
      </c>
      <c r="C18" s="165" t="str">
        <f>'RFPR cover'!$C$14</f>
        <v>£m 09/10</v>
      </c>
      <c r="D18" s="95">
        <f>D14*D16</f>
        <v>53.496617773048698</v>
      </c>
      <c r="E18" s="96">
        <f t="shared" ref="E18:K18" si="2">E14*E16</f>
        <v>78.142568050187279</v>
      </c>
      <c r="F18" s="96">
        <f t="shared" si="2"/>
        <v>-0.61333741500030214</v>
      </c>
      <c r="G18" s="96">
        <f t="shared" si="2"/>
        <v>-67.011009489083648</v>
      </c>
      <c r="H18" s="96">
        <f t="shared" si="2"/>
        <v>2.8652790739963763</v>
      </c>
      <c r="I18" s="96">
        <f t="shared" si="2"/>
        <v>33.499754435055351</v>
      </c>
      <c r="J18" s="96">
        <f t="shared" si="2"/>
        <v>-7.1631625790941058</v>
      </c>
      <c r="K18" s="96">
        <f t="shared" si="2"/>
        <v>-64.246709849109749</v>
      </c>
      <c r="L18" s="95">
        <f>SUM(D18:INDEX(D18:K18,0,MATCH('RFPR cover'!$C$7,$D$6:$K$6,0)))</f>
        <v>100.37987242820375</v>
      </c>
      <c r="M18" s="97">
        <f>SUM(D18:K18)</f>
        <v>28.969999999999899</v>
      </c>
      <c r="O18"/>
      <c r="P18"/>
    </row>
    <row r="19" spans="1:16">
      <c r="A19" s="36"/>
      <c r="B19" s="811" t="s">
        <v>280</v>
      </c>
      <c r="C19" s="165" t="str">
        <f>'RFPR cover'!$C$14</f>
        <v>£m 09/10</v>
      </c>
      <c r="D19" s="92">
        <f>D14*(1-D16)</f>
        <v>53.496617773048698</v>
      </c>
      <c r="E19" s="93">
        <f t="shared" ref="E19:K19" si="3">E14*(1-E16)</f>
        <v>78.142568050187279</v>
      </c>
      <c r="F19" s="93">
        <f t="shared" si="3"/>
        <v>-0.61333741500030214</v>
      </c>
      <c r="G19" s="93">
        <f t="shared" si="3"/>
        <v>-67.011009489083648</v>
      </c>
      <c r="H19" s="93">
        <f t="shared" si="3"/>
        <v>2.8652790739963763</v>
      </c>
      <c r="I19" s="93">
        <f t="shared" si="3"/>
        <v>33.499754435055351</v>
      </c>
      <c r="J19" s="93">
        <f t="shared" si="3"/>
        <v>-7.1631625790941058</v>
      </c>
      <c r="K19" s="93">
        <f t="shared" si="3"/>
        <v>-64.246709849109749</v>
      </c>
      <c r="L19" s="92">
        <f>SUM(D19:INDEX(D19:K19,0,MATCH('RFPR cover'!$C$7,$D$6:$K$6,0)))</f>
        <v>100.37987242820375</v>
      </c>
      <c r="M19" s="94">
        <f>SUM(D19:K19)</f>
        <v>28.969999999999899</v>
      </c>
      <c r="O19"/>
      <c r="P19"/>
    </row>
    <row r="20" spans="1:16">
      <c r="A20" s="36"/>
      <c r="B20" s="804"/>
      <c r="O20"/>
      <c r="P20"/>
    </row>
    <row r="21" spans="1:16">
      <c r="A21" s="36"/>
      <c r="B21" s="812" t="s">
        <v>182</v>
      </c>
      <c r="N21" s="63"/>
      <c r="O21"/>
      <c r="P21"/>
    </row>
    <row r="22" spans="1:16">
      <c r="A22" s="279" t="s">
        <v>151</v>
      </c>
      <c r="B22" s="802" t="s">
        <v>551</v>
      </c>
      <c r="C22" s="161" t="str">
        <f>'RFPR cover'!$C$14</f>
        <v>£m 09/10</v>
      </c>
      <c r="D22" s="607">
        <v>-17.547401749632176</v>
      </c>
      <c r="E22" s="608">
        <v>-50.617606714454915</v>
      </c>
      <c r="F22" s="608">
        <v>-20.307673679365841</v>
      </c>
      <c r="G22" s="608">
        <v>51.404876562045523</v>
      </c>
      <c r="H22" s="608">
        <v>22.339254537520176</v>
      </c>
      <c r="I22" s="608">
        <v>9.051033908379118</v>
      </c>
      <c r="J22" s="608">
        <v>5.6775171355080598</v>
      </c>
      <c r="K22" s="608">
        <v>0</v>
      </c>
      <c r="L22" s="609">
        <f>SUM(D22:INDEX(D22:K22,0,MATCH('RFPR cover'!$C$7,$D$6:$K$6,0)))</f>
        <v>-5.6775171355081255</v>
      </c>
      <c r="M22" s="610">
        <f t="shared" ref="M22:M27" si="4">SUM(D22:K22)</f>
        <v>-6.5725203057809267E-14</v>
      </c>
      <c r="N22" s="598" t="s">
        <v>552</v>
      </c>
      <c r="O22"/>
      <c r="P22"/>
    </row>
    <row r="23" spans="1:16">
      <c r="A23" s="279" t="s">
        <v>152</v>
      </c>
      <c r="B23" s="802" t="s">
        <v>553</v>
      </c>
      <c r="C23" s="161" t="str">
        <f>'RFPR cover'!$C$14</f>
        <v>£m 09/10</v>
      </c>
      <c r="D23" s="611">
        <v>-18.261772467494783</v>
      </c>
      <c r="E23" s="612">
        <v>-13.216974055439202</v>
      </c>
      <c r="F23" s="612">
        <v>14.650716817201497</v>
      </c>
      <c r="G23" s="612">
        <v>13.693184655096212</v>
      </c>
      <c r="H23" s="612">
        <v>9.9765943399848904</v>
      </c>
      <c r="I23" s="612">
        <v>-2.3767827803382748</v>
      </c>
      <c r="J23" s="612">
        <v>-2.7837794215450491</v>
      </c>
      <c r="K23" s="612">
        <v>-1.6811870874652912</v>
      </c>
      <c r="L23" s="613">
        <f>SUM(D23:INDEX(D23:K23,0,MATCH('RFPR cover'!$C$7,$D$6:$K$6,0)))</f>
        <v>4.4649665090103383</v>
      </c>
      <c r="M23" s="614">
        <f t="shared" si="4"/>
        <v>-1.9984014443252818E-15</v>
      </c>
      <c r="N23" s="599" t="s">
        <v>554</v>
      </c>
      <c r="O23"/>
      <c r="P23"/>
    </row>
    <row r="24" spans="1:16">
      <c r="A24" s="279" t="s">
        <v>153</v>
      </c>
      <c r="B24" s="802" t="s">
        <v>555</v>
      </c>
      <c r="C24" s="161" t="str">
        <f>'RFPR cover'!$C$14</f>
        <v>£m 09/10</v>
      </c>
      <c r="D24" s="611">
        <v>-53.414256425324183</v>
      </c>
      <c r="E24" s="612">
        <v>-50.650332909802451</v>
      </c>
      <c r="F24" s="612">
        <v>39.118555309233663</v>
      </c>
      <c r="G24" s="612">
        <v>65.770879599645184</v>
      </c>
      <c r="H24" s="612">
        <v>-27.927800444827632</v>
      </c>
      <c r="I24" s="612">
        <v>-28.869237263609193</v>
      </c>
      <c r="J24" s="612">
        <v>-5.8190878874584513</v>
      </c>
      <c r="K24" s="612">
        <v>61.791280022143155</v>
      </c>
      <c r="L24" s="613">
        <f>SUM(D24:INDEX(D24:K24,0,MATCH('RFPR cover'!$C$7,$D$6:$K$6,0)))</f>
        <v>-55.972192134684612</v>
      </c>
      <c r="M24" s="614">
        <f t="shared" si="4"/>
        <v>9.2370555648813024E-14</v>
      </c>
      <c r="N24" s="599" t="s">
        <v>554</v>
      </c>
      <c r="O24"/>
      <c r="P24"/>
    </row>
    <row r="25" spans="1:16">
      <c r="A25" s="279" t="s">
        <v>526</v>
      </c>
      <c r="B25" s="802" t="s">
        <v>556</v>
      </c>
      <c r="C25" s="161" t="str">
        <f>'RFPR cover'!$C$14</f>
        <v>£m 09/10</v>
      </c>
      <c r="D25" s="611">
        <v>-7.6812124522085536</v>
      </c>
      <c r="E25" s="612">
        <v>-6.3718324488985223</v>
      </c>
      <c r="F25" s="612">
        <v>2.7661091432760969</v>
      </c>
      <c r="G25" s="612">
        <v>2.8721696079729604</v>
      </c>
      <c r="H25" s="612">
        <v>4.4935916374530649E-2</v>
      </c>
      <c r="I25" s="612">
        <v>-7.6383777290275576</v>
      </c>
      <c r="J25" s="612">
        <v>5.9584890195704032</v>
      </c>
      <c r="K25" s="612">
        <v>8.1364547509213683</v>
      </c>
      <c r="L25" s="613">
        <f>SUM(D25:INDEX(D25:K25,0,MATCH('RFPR cover'!$C$7,$D$6:$K$6,0)))</f>
        <v>-16.008207962511044</v>
      </c>
      <c r="M25" s="614">
        <f t="shared" si="4"/>
        <v>-1.9132641920192714</v>
      </c>
      <c r="N25" s="599" t="s">
        <v>557</v>
      </c>
      <c r="O25"/>
      <c r="P25"/>
    </row>
    <row r="26" spans="1:16">
      <c r="A26" s="279" t="s">
        <v>527</v>
      </c>
      <c r="B26" s="802" t="s">
        <v>558</v>
      </c>
      <c r="C26" s="161" t="str">
        <f>'RFPR cover'!$C$14</f>
        <v>£m 09/10</v>
      </c>
      <c r="D26" s="611">
        <v>-7.7898028289581873</v>
      </c>
      <c r="E26" s="612">
        <v>-15.071315548943602</v>
      </c>
      <c r="F26" s="612">
        <v>-10.313721645931491</v>
      </c>
      <c r="G26" s="612">
        <v>23.128100109117213</v>
      </c>
      <c r="H26" s="612">
        <v>20.972379126765382</v>
      </c>
      <c r="I26" s="612">
        <v>-19.599070376587747</v>
      </c>
      <c r="J26" s="612">
        <v>-5.652863249742305</v>
      </c>
      <c r="K26" s="612">
        <v>14.326294414280866</v>
      </c>
      <c r="L26" s="613">
        <f>SUM(D26:INDEX(D26:K26,0,MATCH('RFPR cover'!$C$7,$D$6:$K$6,0)))</f>
        <v>-8.6734311645384352</v>
      </c>
      <c r="M26" s="614">
        <f t="shared" ref="M26" si="5">SUM(D26:K26)</f>
        <v>1.2612133559741778E-13</v>
      </c>
      <c r="N26" s="599" t="s">
        <v>554</v>
      </c>
      <c r="O26"/>
      <c r="P26"/>
    </row>
    <row r="27" spans="1:16">
      <c r="A27" s="279" t="s">
        <v>169</v>
      </c>
      <c r="B27" s="802" t="s">
        <v>559</v>
      </c>
      <c r="C27" s="161" t="str">
        <f>'RFPR cover'!$C$14</f>
        <v>£m 09/10</v>
      </c>
      <c r="D27" s="611">
        <v>31.941176616936261</v>
      </c>
      <c r="E27" s="612">
        <v>19.262737919461962</v>
      </c>
      <c r="F27" s="612">
        <v>-13.547344202321828</v>
      </c>
      <c r="G27" s="612">
        <v>0.63329984061974898</v>
      </c>
      <c r="H27" s="612">
        <v>-12.130584669772254</v>
      </c>
      <c r="I27" s="612">
        <v>-17.015264630096475</v>
      </c>
      <c r="J27" s="612">
        <v>-10.252079973086666</v>
      </c>
      <c r="K27" s="612">
        <v>1.1080590982591971</v>
      </c>
      <c r="L27" s="613">
        <f>SUM(D27:INDEX(D27:K27,0,MATCH('RFPR cover'!$C$7,$D$6:$K$6,0)))</f>
        <v>9.1440208748274117</v>
      </c>
      <c r="M27" s="614">
        <f t="shared" si="4"/>
        <v>-5.6843418860808015E-14</v>
      </c>
      <c r="N27" s="599" t="s">
        <v>554</v>
      </c>
      <c r="O27"/>
      <c r="P27"/>
    </row>
    <row r="28" spans="1:16">
      <c r="A28" s="279" t="s">
        <v>170</v>
      </c>
      <c r="B28" s="802" t="s">
        <v>560</v>
      </c>
      <c r="C28" s="161" t="str">
        <f>'RFPR cover'!$C$14</f>
        <v>£m 09/10</v>
      </c>
      <c r="D28" s="611">
        <v>-8.7615670816681188</v>
      </c>
      <c r="E28" s="612">
        <v>-7.9421409981004016</v>
      </c>
      <c r="F28" s="612">
        <v>-3.4868082493396413</v>
      </c>
      <c r="G28" s="612">
        <v>-18.589240030571343</v>
      </c>
      <c r="H28" s="612">
        <v>-13.3626178125475</v>
      </c>
      <c r="I28" s="612">
        <v>1.4707028617386186</v>
      </c>
      <c r="J28" s="612">
        <v>20.453178635073563</v>
      </c>
      <c r="K28" s="612">
        <v>30.218492675414797</v>
      </c>
      <c r="L28" s="613">
        <f>SUM(D28:INDEX(D28:K28,0,MATCH('RFPR cover'!$C$7,$D$6:$K$6,0)))</f>
        <v>-50.671671310488392</v>
      </c>
      <c r="M28" s="614">
        <f t="shared" ref="M28:M29" si="6">SUM(D28:K28)</f>
        <v>-3.1974423109204508E-14</v>
      </c>
      <c r="N28" s="599" t="s">
        <v>554</v>
      </c>
      <c r="O28"/>
      <c r="P28"/>
    </row>
    <row r="29" spans="1:16">
      <c r="A29" s="279" t="s">
        <v>466</v>
      </c>
      <c r="B29" s="802" t="s">
        <v>561</v>
      </c>
      <c r="C29" s="161"/>
      <c r="D29" s="611">
        <v>-2.3330124658664806</v>
      </c>
      <c r="E29" s="612">
        <v>-2.4336568882118934</v>
      </c>
      <c r="F29" s="612">
        <v>-1.1273275838616157</v>
      </c>
      <c r="G29" s="612">
        <v>-3.2264766102810123</v>
      </c>
      <c r="H29" s="612">
        <v>-6.1484320313728631</v>
      </c>
      <c r="I29" s="612">
        <v>-1.9408586879949516</v>
      </c>
      <c r="J29" s="612">
        <v>6.8268326925818821</v>
      </c>
      <c r="K29" s="612">
        <v>10.382931575006936</v>
      </c>
      <c r="L29" s="613">
        <f>SUM(D29:INDEX(D29:K29,0,MATCH('RFPR cover'!$C$7,$D$6:$K$6,0)))</f>
        <v>-17.209764267588817</v>
      </c>
      <c r="M29" s="614">
        <f t="shared" si="6"/>
        <v>0</v>
      </c>
      <c r="N29" s="600" t="s">
        <v>554</v>
      </c>
      <c r="O29"/>
      <c r="P29"/>
    </row>
    <row r="30" spans="1:16">
      <c r="A30" s="36"/>
      <c r="B30" s="812" t="s">
        <v>190</v>
      </c>
      <c r="C30" s="161" t="str">
        <f>'RFPR cover'!$C$14</f>
        <v>£m 09/10</v>
      </c>
      <c r="D30" s="102">
        <f>SUM(D22:D29)</f>
        <v>-83.847848854216224</v>
      </c>
      <c r="E30" s="103">
        <f t="shared" ref="E30:M30" si="7">SUM(E22:E29)</f>
        <v>-127.04112164438904</v>
      </c>
      <c r="F30" s="103">
        <f t="shared" si="7"/>
        <v>7.752505908890841</v>
      </c>
      <c r="G30" s="103">
        <f t="shared" si="7"/>
        <v>135.68679373364444</v>
      </c>
      <c r="H30" s="103">
        <f t="shared" si="7"/>
        <v>-6.2362710378752677</v>
      </c>
      <c r="I30" s="103">
        <f t="shared" si="7"/>
        <v>-66.917854697536455</v>
      </c>
      <c r="J30" s="103">
        <f t="shared" si="7"/>
        <v>14.408206950901437</v>
      </c>
      <c r="K30" s="103">
        <f t="shared" si="7"/>
        <v>124.28232544856104</v>
      </c>
      <c r="L30" s="102">
        <f t="shared" si="7"/>
        <v>-140.60379659148165</v>
      </c>
      <c r="M30" s="104">
        <f t="shared" si="7"/>
        <v>-1.9132641920192095</v>
      </c>
      <c r="N30" s="63"/>
    </row>
    <row r="31" spans="1:16">
      <c r="A31" s="36"/>
      <c r="B31" s="804"/>
    </row>
    <row r="32" spans="1:16">
      <c r="A32" s="36"/>
      <c r="B32" s="811" t="s">
        <v>198</v>
      </c>
      <c r="C32" s="165" t="str">
        <f>'RFPR cover'!$C$14</f>
        <v>£m 09/10</v>
      </c>
      <c r="D32" s="95">
        <f t="shared" ref="D32:K32" si="8">D30*D16</f>
        <v>-41.923924427108112</v>
      </c>
      <c r="E32" s="96">
        <f t="shared" si="8"/>
        <v>-63.520560822194518</v>
      </c>
      <c r="F32" s="96">
        <f t="shared" si="8"/>
        <v>3.8762529544454205</v>
      </c>
      <c r="G32" s="96">
        <f t="shared" si="8"/>
        <v>67.843396866822218</v>
      </c>
      <c r="H32" s="96">
        <f t="shared" si="8"/>
        <v>-3.1181355189376339</v>
      </c>
      <c r="I32" s="96">
        <f t="shared" si="8"/>
        <v>-33.458927348768228</v>
      </c>
      <c r="J32" s="96">
        <f t="shared" si="8"/>
        <v>7.2041034754507187</v>
      </c>
      <c r="K32" s="96">
        <f t="shared" si="8"/>
        <v>62.14116272428052</v>
      </c>
      <c r="L32" s="95">
        <f>SUM(D32:INDEX(D32:K32,0,MATCH('RFPR cover'!$C$7,$D$6:$K$6,0)))</f>
        <v>-70.301898295740855</v>
      </c>
      <c r="M32" s="97">
        <f>SUM(D32:K32)</f>
        <v>-0.95663209600961352</v>
      </c>
    </row>
    <row r="33" spans="1:16">
      <c r="A33" s="36"/>
      <c r="B33" s="811" t="s">
        <v>310</v>
      </c>
      <c r="C33" s="165" t="str">
        <f>'RFPR cover'!$C$14</f>
        <v>£m 09/10</v>
      </c>
      <c r="D33" s="92">
        <f t="shared" ref="D33:K33" si="9">D30*(1-D16)</f>
        <v>-41.923924427108112</v>
      </c>
      <c r="E33" s="93">
        <f t="shared" si="9"/>
        <v>-63.520560822194518</v>
      </c>
      <c r="F33" s="93">
        <f t="shared" si="9"/>
        <v>3.8762529544454205</v>
      </c>
      <c r="G33" s="93">
        <f t="shared" si="9"/>
        <v>67.843396866822218</v>
      </c>
      <c r="H33" s="93">
        <f t="shared" si="9"/>
        <v>-3.1181355189376339</v>
      </c>
      <c r="I33" s="93">
        <f t="shared" si="9"/>
        <v>-33.458927348768228</v>
      </c>
      <c r="J33" s="93">
        <f t="shared" si="9"/>
        <v>7.2041034754507187</v>
      </c>
      <c r="K33" s="93">
        <f t="shared" si="9"/>
        <v>62.14116272428052</v>
      </c>
      <c r="L33" s="92">
        <f>SUM(D33:INDEX(D33:K33,0,MATCH('RFPR cover'!$C$7,$D$6:$K$6,0)))</f>
        <v>-70.301898295740855</v>
      </c>
      <c r="M33" s="94">
        <f>SUM(D33:K33)</f>
        <v>-0.95663209600961352</v>
      </c>
    </row>
    <row r="34" spans="1:16">
      <c r="A34" s="36"/>
      <c r="B34" s="804"/>
    </row>
    <row r="35" spans="1:16">
      <c r="A35" s="36"/>
      <c r="B35" s="812" t="s">
        <v>181</v>
      </c>
    </row>
    <row r="36" spans="1:16">
      <c r="A36" s="36"/>
      <c r="B36" s="804" t="s">
        <v>180</v>
      </c>
      <c r="C36" s="161" t="str">
        <f>'RFPR cover'!$C$14</f>
        <v>£m 09/10</v>
      </c>
      <c r="D36" s="95">
        <f>D18+D32</f>
        <v>11.572693345940586</v>
      </c>
      <c r="E36" s="96">
        <f t="shared" ref="E36:K36" si="10">E18+E32</f>
        <v>14.622007227992761</v>
      </c>
      <c r="F36" s="96">
        <f t="shared" si="10"/>
        <v>3.2629155394451184</v>
      </c>
      <c r="G36" s="96">
        <f t="shared" si="10"/>
        <v>0.83238737773856997</v>
      </c>
      <c r="H36" s="96">
        <f t="shared" si="10"/>
        <v>-0.25285644494125759</v>
      </c>
      <c r="I36" s="96">
        <f t="shared" si="10"/>
        <v>4.0827086287123393E-2</v>
      </c>
      <c r="J36" s="96">
        <f t="shared" si="10"/>
        <v>4.094089635661291E-2</v>
      </c>
      <c r="K36" s="96">
        <f t="shared" si="10"/>
        <v>-2.1055471248292292</v>
      </c>
      <c r="L36" s="95">
        <f>SUM(D36:INDEX(D36:K36,0,MATCH('RFPR cover'!$C$7,$D$6:$K$6,0)))</f>
        <v>30.077974132462899</v>
      </c>
      <c r="M36" s="97">
        <f>SUM(D36:K36)</f>
        <v>28.013367903990282</v>
      </c>
    </row>
    <row r="37" spans="1:16">
      <c r="A37" s="36"/>
      <c r="B37" s="804" t="s">
        <v>280</v>
      </c>
      <c r="C37" s="161" t="str">
        <f>'RFPR cover'!$C$14</f>
        <v>£m 09/10</v>
      </c>
      <c r="D37" s="98">
        <f>D19+D33</f>
        <v>11.572693345940586</v>
      </c>
      <c r="E37" s="99">
        <f t="shared" ref="E37:K37" si="11">E19+E33</f>
        <v>14.622007227992761</v>
      </c>
      <c r="F37" s="99">
        <f t="shared" si="11"/>
        <v>3.2629155394451184</v>
      </c>
      <c r="G37" s="99">
        <f t="shared" si="11"/>
        <v>0.83238737773856997</v>
      </c>
      <c r="H37" s="99">
        <f t="shared" si="11"/>
        <v>-0.25285644494125759</v>
      </c>
      <c r="I37" s="99">
        <f t="shared" si="11"/>
        <v>4.0827086287123393E-2</v>
      </c>
      <c r="J37" s="99">
        <f t="shared" si="11"/>
        <v>4.094089635661291E-2</v>
      </c>
      <c r="K37" s="99">
        <f t="shared" si="11"/>
        <v>-2.1055471248292292</v>
      </c>
      <c r="L37" s="98">
        <f>SUM(D37:INDEX(D37:K37,0,MATCH('RFPR cover'!$C$7,$D$6:$K$6,0)))</f>
        <v>30.077974132462899</v>
      </c>
      <c r="M37" s="100">
        <f>SUM(D37:K37)</f>
        <v>28.013367903990282</v>
      </c>
    </row>
    <row r="38" spans="1:16">
      <c r="A38" s="36"/>
      <c r="B38" s="812" t="s">
        <v>11</v>
      </c>
      <c r="C38" s="162" t="str">
        <f>'RFPR cover'!$C$14</f>
        <v>£m 09/10</v>
      </c>
      <c r="D38" s="145">
        <f>SUM(D36:D37)</f>
        <v>23.145386691881171</v>
      </c>
      <c r="E38" s="146">
        <f t="shared" ref="E38:K38" si="12">SUM(E36:E37)</f>
        <v>29.244014455985521</v>
      </c>
      <c r="F38" s="146">
        <f t="shared" si="12"/>
        <v>6.5258310788902367</v>
      </c>
      <c r="G38" s="146">
        <f t="shared" si="12"/>
        <v>1.6647747554771399</v>
      </c>
      <c r="H38" s="146">
        <f t="shared" si="12"/>
        <v>-0.50571288988251517</v>
      </c>
      <c r="I38" s="146">
        <f t="shared" si="12"/>
        <v>8.1654172574246786E-2</v>
      </c>
      <c r="J38" s="146">
        <f t="shared" si="12"/>
        <v>8.1881792713225821E-2</v>
      </c>
      <c r="K38" s="146">
        <f t="shared" si="12"/>
        <v>-4.2110942496584585</v>
      </c>
      <c r="L38" s="145">
        <f>SUM(D38:INDEX(D38:K38,0,MATCH('RFPR cover'!$C$7,$D$6:$K$6,0)))</f>
        <v>60.155948264925797</v>
      </c>
      <c r="M38" s="147">
        <f>SUM(D38:K38)</f>
        <v>56.026735807980565</v>
      </c>
    </row>
    <row r="39" spans="1:16">
      <c r="A39" s="36"/>
      <c r="B39" s="804"/>
    </row>
    <row r="40" spans="1:16">
      <c r="A40" s="36"/>
      <c r="B40" s="807" t="str">
        <f>Data!B51</f>
        <v>n/a</v>
      </c>
      <c r="C40" s="156"/>
      <c r="D40" s="81"/>
      <c r="E40" s="81"/>
      <c r="F40" s="81"/>
      <c r="G40" s="81"/>
      <c r="H40" s="81"/>
      <c r="I40" s="81"/>
      <c r="J40" s="81"/>
      <c r="K40" s="81"/>
      <c r="L40" s="81"/>
      <c r="M40" s="81"/>
      <c r="N40" s="81"/>
    </row>
    <row r="41" spans="1:16" s="36" customFormat="1">
      <c r="B41" s="805"/>
      <c r="C41" s="144"/>
      <c r="D41" s="335"/>
      <c r="E41" s="335"/>
      <c r="F41" s="335"/>
      <c r="G41" s="335"/>
      <c r="H41" s="335"/>
      <c r="I41" s="335"/>
      <c r="J41" s="335"/>
      <c r="K41" s="335"/>
      <c r="L41" s="335"/>
      <c r="M41" s="335"/>
      <c r="N41" s="335"/>
    </row>
    <row r="42" spans="1:16">
      <c r="A42" s="36"/>
      <c r="B42" s="320" t="s">
        <v>34</v>
      </c>
      <c r="C42" s="161" t="str">
        <f>'RFPR cover'!$C$14</f>
        <v>£m 09/10</v>
      </c>
      <c r="D42" s="674"/>
      <c r="E42" s="675"/>
      <c r="F42" s="675"/>
      <c r="G42" s="675"/>
      <c r="H42" s="675"/>
      <c r="I42" s="675"/>
      <c r="J42" s="675"/>
      <c r="K42" s="675"/>
      <c r="L42" s="676">
        <f>SUM(D42:INDEX(D42:K42,0,MATCH('RFPR cover'!$C$7,$D$6:$K$6,0)))</f>
        <v>0</v>
      </c>
      <c r="M42" s="677">
        <f>SUM(D42:K42)</f>
        <v>0</v>
      </c>
      <c r="N42" s="367"/>
      <c r="O42" s="63"/>
    </row>
    <row r="43" spans="1:16" ht="25.5">
      <c r="A43" s="36"/>
      <c r="B43" s="809" t="s">
        <v>489</v>
      </c>
      <c r="C43" s="161" t="str">
        <f>'RFPR cover'!$C$14</f>
        <v>£m 09/10</v>
      </c>
      <c r="D43" s="678"/>
      <c r="E43" s="679"/>
      <c r="F43" s="679"/>
      <c r="G43" s="679"/>
      <c r="H43" s="679"/>
      <c r="I43" s="679"/>
      <c r="J43" s="679"/>
      <c r="K43" s="679"/>
      <c r="L43" s="680">
        <f>SUM(D43:INDEX(D43:K43,0,MATCH('RFPR cover'!$C$7,$D$6:$K$6,0)))</f>
        <v>0</v>
      </c>
      <c r="M43" s="681">
        <f>SUM(D43:K43)</f>
        <v>0</v>
      </c>
      <c r="N43" s="367"/>
      <c r="O43" s="63"/>
    </row>
    <row r="44" spans="1:16">
      <c r="A44" s="36"/>
      <c r="B44" s="810" t="s">
        <v>195</v>
      </c>
      <c r="C44" s="161" t="str">
        <f>'RFPR cover'!$C$14</f>
        <v>£m 09/10</v>
      </c>
      <c r="D44" s="102">
        <f>D43-D42</f>
        <v>0</v>
      </c>
      <c r="E44" s="103">
        <f t="shared" ref="E44:M44" si="13">E43-E42</f>
        <v>0</v>
      </c>
      <c r="F44" s="103">
        <f t="shared" si="13"/>
        <v>0</v>
      </c>
      <c r="G44" s="103">
        <f t="shared" si="13"/>
        <v>0</v>
      </c>
      <c r="H44" s="103">
        <f t="shared" si="13"/>
        <v>0</v>
      </c>
      <c r="I44" s="103">
        <f t="shared" si="13"/>
        <v>0</v>
      </c>
      <c r="J44" s="103">
        <f t="shared" si="13"/>
        <v>0</v>
      </c>
      <c r="K44" s="103">
        <f t="shared" si="13"/>
        <v>0</v>
      </c>
      <c r="L44" s="370">
        <f t="shared" si="13"/>
        <v>0</v>
      </c>
      <c r="M44" s="371">
        <f t="shared" si="13"/>
        <v>0</v>
      </c>
      <c r="N44" s="368"/>
      <c r="O44" s="995"/>
      <c r="P44" s="995"/>
    </row>
    <row r="45" spans="1:16">
      <c r="A45" s="36"/>
      <c r="B45" s="810"/>
      <c r="C45" s="161"/>
      <c r="D45" s="59"/>
      <c r="E45" s="59"/>
      <c r="F45" s="59"/>
      <c r="G45" s="59"/>
      <c r="H45" s="59"/>
      <c r="I45" s="59"/>
      <c r="J45" s="59"/>
      <c r="K45" s="59"/>
      <c r="L45" s="59"/>
      <c r="M45" s="59"/>
      <c r="N45" s="364"/>
      <c r="O45" s="64"/>
      <c r="P45" s="64"/>
    </row>
    <row r="46" spans="1:16">
      <c r="A46" s="36"/>
      <c r="B46" s="804" t="s">
        <v>178</v>
      </c>
      <c r="C46" s="142" t="s">
        <v>7</v>
      </c>
      <c r="D46" s="109">
        <f>1-INDEX(Data!$D$73:$D$100,MATCH('RFPR cover'!$C$5,Data!$B$73:$B$100,0),0)</f>
        <v>0.5</v>
      </c>
      <c r="E46" s="110">
        <f>1-INDEX(Data!$D$73:$D$100,MATCH('RFPR cover'!$C$5,Data!$B$73:$B$100,0),0)</f>
        <v>0.5</v>
      </c>
      <c r="F46" s="110">
        <f>1-INDEX(Data!$D$73:$D$100,MATCH('RFPR cover'!$C$5,Data!$B$73:$B$100,0),0)</f>
        <v>0.5</v>
      </c>
      <c r="G46" s="110">
        <f>1-INDEX(Data!$D$73:$D$100,MATCH('RFPR cover'!$C$5,Data!$B$73:$B$100,0),0)</f>
        <v>0.5</v>
      </c>
      <c r="H46" s="110">
        <f>1-INDEX(Data!$D$73:$D$100,MATCH('RFPR cover'!$C$5,Data!$B$73:$B$100,0),0)</f>
        <v>0.5</v>
      </c>
      <c r="I46" s="110">
        <f>1-INDEX(Data!$D$73:$D$100,MATCH('RFPR cover'!$C$5,Data!$B$73:$B$100,0),0)</f>
        <v>0.5</v>
      </c>
      <c r="J46" s="110">
        <f>1-INDEX(Data!$D$73:$D$100,MATCH('RFPR cover'!$C$5,Data!$B$73:$B$100,0),0)</f>
        <v>0.5</v>
      </c>
      <c r="K46" s="111">
        <f>1-INDEX(Data!$D$73:$D$100,MATCH('RFPR cover'!$C$5,Data!$B$73:$B$100,0),0)</f>
        <v>0.5</v>
      </c>
      <c r="L46" s="62"/>
      <c r="M46" s="62"/>
      <c r="N46" s="365"/>
      <c r="O46"/>
      <c r="P46"/>
    </row>
    <row r="47" spans="1:16">
      <c r="A47" s="36"/>
      <c r="B47" s="804"/>
      <c r="N47" s="366"/>
      <c r="O47"/>
      <c r="P47"/>
    </row>
    <row r="48" spans="1:16">
      <c r="A48" s="36"/>
      <c r="B48" s="811" t="s">
        <v>183</v>
      </c>
      <c r="C48" s="165" t="str">
        <f>'RFPR cover'!$C$14</f>
        <v>£m 09/10</v>
      </c>
      <c r="D48" s="95">
        <f>D44*D46</f>
        <v>0</v>
      </c>
      <c r="E48" s="96">
        <f t="shared" ref="E48:K48" si="14">E44*E46</f>
        <v>0</v>
      </c>
      <c r="F48" s="96">
        <f t="shared" si="14"/>
        <v>0</v>
      </c>
      <c r="G48" s="96">
        <f t="shared" si="14"/>
        <v>0</v>
      </c>
      <c r="H48" s="96">
        <f t="shared" si="14"/>
        <v>0</v>
      </c>
      <c r="I48" s="96">
        <f t="shared" si="14"/>
        <v>0</v>
      </c>
      <c r="J48" s="96">
        <f t="shared" si="14"/>
        <v>0</v>
      </c>
      <c r="K48" s="96">
        <f t="shared" si="14"/>
        <v>0</v>
      </c>
      <c r="L48" s="372">
        <f>SUM(D48:INDEX(D48:K48,0,MATCH('RFPR cover'!$C$7,$D$6:$K$6,0)))</f>
        <v>0</v>
      </c>
      <c r="M48" s="601">
        <f>SUM(D48:K48)</f>
        <v>0</v>
      </c>
      <c r="N48" s="368"/>
      <c r="O48"/>
      <c r="P48"/>
    </row>
    <row r="49" spans="1:16">
      <c r="A49" s="36"/>
      <c r="B49" s="811" t="s">
        <v>280</v>
      </c>
      <c r="C49" s="165" t="str">
        <f>'RFPR cover'!$C$14</f>
        <v>£m 09/10</v>
      </c>
      <c r="D49" s="603">
        <f>D44*(1-D46)</f>
        <v>0</v>
      </c>
      <c r="E49" s="604">
        <f t="shared" ref="E49:K49" si="15">E44*(1-E46)</f>
        <v>0</v>
      </c>
      <c r="F49" s="604">
        <f t="shared" si="15"/>
        <v>0</v>
      </c>
      <c r="G49" s="604">
        <f t="shared" si="15"/>
        <v>0</v>
      </c>
      <c r="H49" s="604">
        <f t="shared" si="15"/>
        <v>0</v>
      </c>
      <c r="I49" s="604">
        <f t="shared" si="15"/>
        <v>0</v>
      </c>
      <c r="J49" s="604">
        <f t="shared" si="15"/>
        <v>0</v>
      </c>
      <c r="K49" s="604">
        <f t="shared" si="15"/>
        <v>0</v>
      </c>
      <c r="L49" s="605">
        <f>SUM(D49:INDEX(D49:K49,0,MATCH('RFPR cover'!$C$7,$D$6:$K$6,0)))</f>
        <v>0</v>
      </c>
      <c r="M49" s="606">
        <f>SUM(D49:K49)</f>
        <v>0</v>
      </c>
      <c r="N49" s="368"/>
      <c r="O49"/>
      <c r="P49"/>
    </row>
    <row r="50" spans="1:16">
      <c r="A50" s="36"/>
      <c r="B50" s="804"/>
      <c r="N50" s="366"/>
      <c r="O50"/>
      <c r="P50"/>
    </row>
    <row r="51" spans="1:16">
      <c r="A51" s="36"/>
      <c r="B51" s="812" t="s">
        <v>182</v>
      </c>
      <c r="N51" s="366"/>
      <c r="O51"/>
      <c r="P51"/>
    </row>
    <row r="52" spans="1:16">
      <c r="A52" s="279" t="s">
        <v>151</v>
      </c>
      <c r="B52" s="802" t="s">
        <v>242</v>
      </c>
      <c r="C52" s="161" t="str">
        <f>'RFPR cover'!$C$14</f>
        <v>£m 09/10</v>
      </c>
      <c r="D52" s="607"/>
      <c r="E52" s="608"/>
      <c r="F52" s="608"/>
      <c r="G52" s="608"/>
      <c r="H52" s="608"/>
      <c r="I52" s="608"/>
      <c r="J52" s="608"/>
      <c r="K52" s="608"/>
      <c r="L52" s="682">
        <f>SUM(D52:INDEX(D52:K52,0,MATCH('RFPR cover'!$C$7,$D$6:$K$6,0)))</f>
        <v>0</v>
      </c>
      <c r="M52" s="683">
        <f t="shared" ref="M52:M58" si="16">SUM(D52:K52)</f>
        <v>0</v>
      </c>
      <c r="N52" s="598"/>
      <c r="O52"/>
      <c r="P52"/>
    </row>
    <row r="53" spans="1:16">
      <c r="A53" s="279" t="s">
        <v>152</v>
      </c>
      <c r="B53" s="802" t="s">
        <v>242</v>
      </c>
      <c r="C53" s="161" t="str">
        <f>'RFPR cover'!$C$14</f>
        <v>£m 09/10</v>
      </c>
      <c r="D53" s="611"/>
      <c r="E53" s="612"/>
      <c r="F53" s="612"/>
      <c r="G53" s="612"/>
      <c r="H53" s="612"/>
      <c r="I53" s="612"/>
      <c r="J53" s="612"/>
      <c r="K53" s="612"/>
      <c r="L53" s="684">
        <f>SUM(D53:INDEX(D53:K53,0,MATCH('RFPR cover'!$C$7,$D$6:$K$6,0)))</f>
        <v>0</v>
      </c>
      <c r="M53" s="685">
        <f t="shared" si="16"/>
        <v>0</v>
      </c>
      <c r="N53" s="599"/>
      <c r="O53"/>
      <c r="P53"/>
    </row>
    <row r="54" spans="1:16">
      <c r="A54" s="279" t="s">
        <v>153</v>
      </c>
      <c r="B54" s="802" t="s">
        <v>242</v>
      </c>
      <c r="C54" s="161" t="str">
        <f>'RFPR cover'!$C$14</f>
        <v>£m 09/10</v>
      </c>
      <c r="D54" s="611"/>
      <c r="E54" s="612"/>
      <c r="F54" s="612"/>
      <c r="G54" s="612"/>
      <c r="H54" s="612"/>
      <c r="I54" s="612"/>
      <c r="J54" s="612"/>
      <c r="K54" s="612"/>
      <c r="L54" s="684">
        <f>SUM(D54:INDEX(D54:K54,0,MATCH('RFPR cover'!$C$7,$D$6:$K$6,0)))</f>
        <v>0</v>
      </c>
      <c r="M54" s="685">
        <f t="shared" si="16"/>
        <v>0</v>
      </c>
      <c r="N54" s="599"/>
      <c r="O54"/>
      <c r="P54"/>
    </row>
    <row r="55" spans="1:16">
      <c r="A55" s="279" t="s">
        <v>168</v>
      </c>
      <c r="B55" s="802" t="s">
        <v>242</v>
      </c>
      <c r="C55" s="161" t="str">
        <f>'RFPR cover'!$C$14</f>
        <v>£m 09/10</v>
      </c>
      <c r="D55" s="611"/>
      <c r="E55" s="612"/>
      <c r="F55" s="612"/>
      <c r="G55" s="612"/>
      <c r="H55" s="612"/>
      <c r="I55" s="612"/>
      <c r="J55" s="612"/>
      <c r="K55" s="612"/>
      <c r="L55" s="684">
        <f>SUM(D55:INDEX(D55:K55,0,MATCH('RFPR cover'!$C$7,$D$6:$K$6,0)))</f>
        <v>0</v>
      </c>
      <c r="M55" s="685">
        <f t="shared" si="16"/>
        <v>0</v>
      </c>
      <c r="N55" s="599"/>
      <c r="O55"/>
      <c r="P55"/>
    </row>
    <row r="56" spans="1:16">
      <c r="A56" s="279" t="s">
        <v>169</v>
      </c>
      <c r="B56" s="802" t="s">
        <v>242</v>
      </c>
      <c r="C56" s="161" t="str">
        <f>'RFPR cover'!$C$14</f>
        <v>£m 09/10</v>
      </c>
      <c r="D56" s="611"/>
      <c r="E56" s="612"/>
      <c r="F56" s="612"/>
      <c r="G56" s="612"/>
      <c r="H56" s="612"/>
      <c r="I56" s="612"/>
      <c r="J56" s="612"/>
      <c r="K56" s="612"/>
      <c r="L56" s="684">
        <f>SUM(D56:INDEX(D56:K56,0,MATCH('RFPR cover'!$C$7,$D$6:$K$6,0)))</f>
        <v>0</v>
      </c>
      <c r="M56" s="685">
        <f t="shared" si="16"/>
        <v>0</v>
      </c>
      <c r="N56" s="599"/>
      <c r="O56"/>
      <c r="P56"/>
    </row>
    <row r="57" spans="1:16">
      <c r="A57" s="279" t="s">
        <v>170</v>
      </c>
      <c r="B57" s="802" t="s">
        <v>242</v>
      </c>
      <c r="C57" s="161" t="str">
        <f>'RFPR cover'!$C$14</f>
        <v>£m 09/10</v>
      </c>
      <c r="D57" s="615"/>
      <c r="E57" s="616"/>
      <c r="F57" s="616"/>
      <c r="G57" s="616"/>
      <c r="H57" s="616"/>
      <c r="I57" s="616"/>
      <c r="J57" s="616"/>
      <c r="K57" s="616"/>
      <c r="L57" s="686">
        <f>SUM(D57:INDEX(D57:K57,0,MATCH('RFPR cover'!$C$7,$D$6:$K$6,0)))</f>
        <v>0</v>
      </c>
      <c r="M57" s="687">
        <f t="shared" si="16"/>
        <v>0</v>
      </c>
      <c r="N57" s="600"/>
      <c r="O57"/>
      <c r="P57"/>
    </row>
    <row r="58" spans="1:16">
      <c r="A58" s="36"/>
      <c r="B58" s="812" t="s">
        <v>190</v>
      </c>
      <c r="C58" s="161" t="str">
        <f>'RFPR cover'!$C$14</f>
        <v>£m 09/10</v>
      </c>
      <c r="D58" s="102">
        <f>SUM(D52:D57)</f>
        <v>0</v>
      </c>
      <c r="E58" s="103">
        <f t="shared" ref="E58:K58" si="17">SUM(E52:E57)</f>
        <v>0</v>
      </c>
      <c r="F58" s="103">
        <f t="shared" si="17"/>
        <v>0</v>
      </c>
      <c r="G58" s="103">
        <f t="shared" si="17"/>
        <v>0</v>
      </c>
      <c r="H58" s="103">
        <f t="shared" si="17"/>
        <v>0</v>
      </c>
      <c r="I58" s="103">
        <f t="shared" si="17"/>
        <v>0</v>
      </c>
      <c r="J58" s="103">
        <f t="shared" si="17"/>
        <v>0</v>
      </c>
      <c r="K58" s="103">
        <f t="shared" si="17"/>
        <v>0</v>
      </c>
      <c r="L58" s="370">
        <f>SUM(D58:INDEX(D58:K58,0,MATCH('RFPR cover'!$C$7,$D$6:$K$6,0)))</f>
        <v>0</v>
      </c>
      <c r="M58" s="371">
        <f t="shared" si="16"/>
        <v>0</v>
      </c>
      <c r="N58" s="368"/>
    </row>
    <row r="59" spans="1:16">
      <c r="A59" s="36"/>
      <c r="B59" s="804"/>
      <c r="N59" s="366"/>
    </row>
    <row r="60" spans="1:16">
      <c r="A60" s="36"/>
      <c r="B60" s="811" t="s">
        <v>198</v>
      </c>
      <c r="C60" s="165" t="str">
        <f>'RFPR cover'!$C$14</f>
        <v>£m 09/10</v>
      </c>
      <c r="D60" s="95">
        <f t="shared" ref="D60:K60" si="18">D58*D46</f>
        <v>0</v>
      </c>
      <c r="E60" s="96">
        <f t="shared" si="18"/>
        <v>0</v>
      </c>
      <c r="F60" s="96">
        <f t="shared" si="18"/>
        <v>0</v>
      </c>
      <c r="G60" s="96">
        <f t="shared" si="18"/>
        <v>0</v>
      </c>
      <c r="H60" s="96">
        <f t="shared" si="18"/>
        <v>0</v>
      </c>
      <c r="I60" s="96">
        <f t="shared" si="18"/>
        <v>0</v>
      </c>
      <c r="J60" s="96">
        <f t="shared" si="18"/>
        <v>0</v>
      </c>
      <c r="K60" s="96">
        <f t="shared" si="18"/>
        <v>0</v>
      </c>
      <c r="L60" s="372">
        <f>SUM(D60:INDEX(D60:K60,0,MATCH('RFPR cover'!$C$7,$D$6:$K$6,0)))</f>
        <v>0</v>
      </c>
      <c r="M60" s="601">
        <f>SUM(D60:K60)</f>
        <v>0</v>
      </c>
      <c r="N60" s="368"/>
    </row>
    <row r="61" spans="1:16">
      <c r="A61" s="36"/>
      <c r="B61" s="811" t="s">
        <v>310</v>
      </c>
      <c r="C61" s="165" t="str">
        <f>'RFPR cover'!$C$14</f>
        <v>£m 09/10</v>
      </c>
      <c r="D61" s="92">
        <f t="shared" ref="D61:K61" si="19">D58*(1-D46)</f>
        <v>0</v>
      </c>
      <c r="E61" s="93">
        <f t="shared" si="19"/>
        <v>0</v>
      </c>
      <c r="F61" s="93">
        <f t="shared" si="19"/>
        <v>0</v>
      </c>
      <c r="G61" s="93">
        <f t="shared" si="19"/>
        <v>0</v>
      </c>
      <c r="H61" s="93">
        <f t="shared" si="19"/>
        <v>0</v>
      </c>
      <c r="I61" s="93">
        <f t="shared" si="19"/>
        <v>0</v>
      </c>
      <c r="J61" s="93">
        <f t="shared" si="19"/>
        <v>0</v>
      </c>
      <c r="K61" s="93">
        <f t="shared" si="19"/>
        <v>0</v>
      </c>
      <c r="L61" s="373">
        <f>SUM(D61:INDEX(D61:K61,0,MATCH('RFPR cover'!$C$7,$D$6:$K$6,0)))</f>
        <v>0</v>
      </c>
      <c r="M61" s="602">
        <f>SUM(D61:K61)</f>
        <v>0</v>
      </c>
      <c r="N61" s="368"/>
    </row>
    <row r="62" spans="1:16">
      <c r="A62" s="36"/>
      <c r="B62" s="804"/>
      <c r="N62" s="366"/>
    </row>
    <row r="63" spans="1:16">
      <c r="A63" s="36"/>
      <c r="B63" s="812" t="s">
        <v>181</v>
      </c>
      <c r="N63" s="366"/>
    </row>
    <row r="64" spans="1:16">
      <c r="A64" s="36"/>
      <c r="B64" s="804" t="s">
        <v>180</v>
      </c>
      <c r="C64" s="161" t="str">
        <f>'RFPR cover'!$C$14</f>
        <v>£m 09/10</v>
      </c>
      <c r="D64" s="95">
        <f>D48+D60</f>
        <v>0</v>
      </c>
      <c r="E64" s="96">
        <f t="shared" ref="E64:K64" si="20">E48+E60</f>
        <v>0</v>
      </c>
      <c r="F64" s="96">
        <f t="shared" si="20"/>
        <v>0</v>
      </c>
      <c r="G64" s="96">
        <f t="shared" si="20"/>
        <v>0</v>
      </c>
      <c r="H64" s="96">
        <f t="shared" si="20"/>
        <v>0</v>
      </c>
      <c r="I64" s="96">
        <f t="shared" si="20"/>
        <v>0</v>
      </c>
      <c r="J64" s="96">
        <f t="shared" si="20"/>
        <v>0</v>
      </c>
      <c r="K64" s="96">
        <f t="shared" si="20"/>
        <v>0</v>
      </c>
      <c r="L64" s="372">
        <f>SUM(D64:INDEX(D64:K64,0,MATCH('RFPR cover'!$C$7,$D$6:$K$6,0)))</f>
        <v>0</v>
      </c>
      <c r="M64" s="601">
        <f>SUM(D64:K64)</f>
        <v>0</v>
      </c>
      <c r="N64" s="368"/>
    </row>
    <row r="65" spans="1:16">
      <c r="A65" s="36"/>
      <c r="B65" s="804" t="s">
        <v>280</v>
      </c>
      <c r="C65" s="161" t="str">
        <f>'RFPR cover'!$C$14</f>
        <v>£m 09/10</v>
      </c>
      <c r="D65" s="98">
        <f>D49+D61</f>
        <v>0</v>
      </c>
      <c r="E65" s="99">
        <f t="shared" ref="E65:K65" si="21">E49+E61</f>
        <v>0</v>
      </c>
      <c r="F65" s="99">
        <f t="shared" si="21"/>
        <v>0</v>
      </c>
      <c r="G65" s="99">
        <f t="shared" si="21"/>
        <v>0</v>
      </c>
      <c r="H65" s="99">
        <f t="shared" si="21"/>
        <v>0</v>
      </c>
      <c r="I65" s="99">
        <f t="shared" si="21"/>
        <v>0</v>
      </c>
      <c r="J65" s="99">
        <f t="shared" si="21"/>
        <v>0</v>
      </c>
      <c r="K65" s="99">
        <f t="shared" si="21"/>
        <v>0</v>
      </c>
      <c r="L65" s="374">
        <f>SUM(D65:INDEX(D65:K65,0,MATCH('RFPR cover'!$C$7,$D$6:$K$6,0)))</f>
        <v>0</v>
      </c>
      <c r="M65" s="602">
        <f>SUM(D65:K65)</f>
        <v>0</v>
      </c>
      <c r="N65" s="368"/>
    </row>
    <row r="66" spans="1:16">
      <c r="A66" s="36"/>
      <c r="B66" s="812" t="s">
        <v>11</v>
      </c>
      <c r="C66" s="162" t="str">
        <f>'RFPR cover'!$C$14</f>
        <v>£m 09/10</v>
      </c>
      <c r="D66" s="145">
        <f>SUM(D64:D65)</f>
        <v>0</v>
      </c>
      <c r="E66" s="146">
        <f t="shared" ref="E66:K66" si="22">SUM(E64:E65)</f>
        <v>0</v>
      </c>
      <c r="F66" s="146">
        <f t="shared" si="22"/>
        <v>0</v>
      </c>
      <c r="G66" s="146">
        <f t="shared" si="22"/>
        <v>0</v>
      </c>
      <c r="H66" s="146">
        <f t="shared" si="22"/>
        <v>0</v>
      </c>
      <c r="I66" s="146">
        <f t="shared" si="22"/>
        <v>0</v>
      </c>
      <c r="J66" s="146">
        <f t="shared" si="22"/>
        <v>0</v>
      </c>
      <c r="K66" s="146">
        <f t="shared" si="22"/>
        <v>0</v>
      </c>
      <c r="L66" s="375">
        <f>SUM(D66:INDEX(D66:K66,0,MATCH('RFPR cover'!$C$7,$D$6:$K$6,0)))</f>
        <v>0</v>
      </c>
      <c r="M66" s="376">
        <f>SUM(D66:K66)</f>
        <v>0</v>
      </c>
      <c r="N66" s="369"/>
    </row>
    <row r="67" spans="1:16">
      <c r="A67" s="36"/>
      <c r="B67" s="812"/>
      <c r="C67" s="162"/>
      <c r="D67" s="162"/>
      <c r="E67" s="162"/>
      <c r="F67" s="162"/>
      <c r="G67" s="162"/>
      <c r="H67" s="162"/>
      <c r="I67" s="162"/>
      <c r="J67" s="162"/>
      <c r="K67" s="162"/>
      <c r="L67" s="162"/>
      <c r="M67" s="162"/>
    </row>
    <row r="68" spans="1:16">
      <c r="A68" s="36"/>
      <c r="B68" s="807" t="s">
        <v>257</v>
      </c>
      <c r="C68" s="156"/>
      <c r="D68" s="81"/>
      <c r="E68" s="81"/>
      <c r="F68" s="81"/>
      <c r="G68" s="81"/>
      <c r="H68" s="81"/>
      <c r="I68" s="81"/>
      <c r="J68" s="81"/>
      <c r="K68" s="81"/>
      <c r="L68" s="81"/>
      <c r="M68" s="81"/>
      <c r="N68" s="81"/>
    </row>
    <row r="69" spans="1:16">
      <c r="A69" s="36"/>
      <c r="B69" s="804"/>
      <c r="O69"/>
      <c r="P69"/>
    </row>
    <row r="70" spans="1:16">
      <c r="A70" s="36"/>
      <c r="B70" s="812" t="s">
        <v>181</v>
      </c>
    </row>
    <row r="71" spans="1:16">
      <c r="A71" s="36"/>
      <c r="B71" s="804" t="s">
        <v>180</v>
      </c>
      <c r="C71" s="161" t="str">
        <f>'RFPR cover'!$C$14</f>
        <v>£m 09/10</v>
      </c>
      <c r="D71" s="95">
        <f>D36+D64</f>
        <v>11.572693345940586</v>
      </c>
      <c r="E71" s="96">
        <f t="shared" ref="E71:K71" si="23">E36+E64</f>
        <v>14.622007227992761</v>
      </c>
      <c r="F71" s="96">
        <f t="shared" si="23"/>
        <v>3.2629155394451184</v>
      </c>
      <c r="G71" s="96">
        <f t="shared" si="23"/>
        <v>0.83238737773856997</v>
      </c>
      <c r="H71" s="96">
        <f t="shared" si="23"/>
        <v>-0.25285644494125759</v>
      </c>
      <c r="I71" s="96">
        <f t="shared" si="23"/>
        <v>4.0827086287123393E-2</v>
      </c>
      <c r="J71" s="96">
        <f t="shared" si="23"/>
        <v>4.094089635661291E-2</v>
      </c>
      <c r="K71" s="96">
        <f t="shared" si="23"/>
        <v>-2.1055471248292292</v>
      </c>
      <c r="L71" s="95">
        <f>SUM(D71:INDEX(D71:K71,0,MATCH('RFPR cover'!$C$7,$D$6:$K$6,0)))</f>
        <v>30.077974132462899</v>
      </c>
      <c r="M71" s="97">
        <f>SUM(D71:K71)</f>
        <v>28.013367903990282</v>
      </c>
    </row>
    <row r="72" spans="1:16">
      <c r="A72" s="36"/>
      <c r="B72" s="804" t="s">
        <v>280</v>
      </c>
      <c r="C72" s="161" t="str">
        <f>'RFPR cover'!$C$14</f>
        <v>£m 09/10</v>
      </c>
      <c r="D72" s="544">
        <f t="shared" ref="D72:K72" si="24">D37+D65</f>
        <v>11.572693345940586</v>
      </c>
      <c r="E72" s="545">
        <f t="shared" si="24"/>
        <v>14.622007227992761</v>
      </c>
      <c r="F72" s="545">
        <f t="shared" si="24"/>
        <v>3.2629155394451184</v>
      </c>
      <c r="G72" s="545">
        <f t="shared" si="24"/>
        <v>0.83238737773856997</v>
      </c>
      <c r="H72" s="545">
        <f t="shared" si="24"/>
        <v>-0.25285644494125759</v>
      </c>
      <c r="I72" s="545">
        <f t="shared" si="24"/>
        <v>4.0827086287123393E-2</v>
      </c>
      <c r="J72" s="545">
        <f t="shared" si="24"/>
        <v>4.094089635661291E-2</v>
      </c>
      <c r="K72" s="545">
        <f t="shared" si="24"/>
        <v>-2.1055471248292292</v>
      </c>
      <c r="L72" s="544">
        <f>SUM(D72:INDEX(D72:K72,0,MATCH('RFPR cover'!$C$7,$D$6:$K$6,0)))</f>
        <v>30.077974132462899</v>
      </c>
      <c r="M72" s="546">
        <f>SUM(D72:K72)</f>
        <v>28.013367903990282</v>
      </c>
    </row>
    <row r="73" spans="1:16">
      <c r="A73" s="36"/>
      <c r="B73" s="812" t="s">
        <v>11</v>
      </c>
      <c r="C73" s="162" t="str">
        <f>'RFPR cover'!$C$14</f>
        <v>£m 09/10</v>
      </c>
      <c r="D73" s="151">
        <f>SUM(D71:D72)</f>
        <v>23.145386691881171</v>
      </c>
      <c r="E73" s="152">
        <f t="shared" ref="E73:K73" si="25">SUM(E71:E72)</f>
        <v>29.244014455985521</v>
      </c>
      <c r="F73" s="152">
        <f t="shared" si="25"/>
        <v>6.5258310788902367</v>
      </c>
      <c r="G73" s="152">
        <f t="shared" si="25"/>
        <v>1.6647747554771399</v>
      </c>
      <c r="H73" s="152">
        <f t="shared" si="25"/>
        <v>-0.50571288988251517</v>
      </c>
      <c r="I73" s="152">
        <f t="shared" si="25"/>
        <v>8.1654172574246786E-2</v>
      </c>
      <c r="J73" s="152">
        <f t="shared" si="25"/>
        <v>8.1881792713225821E-2</v>
      </c>
      <c r="K73" s="152">
        <f t="shared" si="25"/>
        <v>-4.2110942496584585</v>
      </c>
      <c r="L73" s="151">
        <f>SUM(D73:INDEX(D73:K73,0,MATCH('RFPR cover'!$C$7,$D$6:$K$6,0)))</f>
        <v>60.155948264925797</v>
      </c>
      <c r="M73" s="153">
        <f>SUM(D73:K73)</f>
        <v>56.026735807980565</v>
      </c>
    </row>
    <row r="74" spans="1:16">
      <c r="A74" s="36"/>
      <c r="B74" s="812"/>
      <c r="C74" s="162"/>
      <c r="D74" s="162"/>
      <c r="E74" s="162"/>
      <c r="F74" s="162"/>
      <c r="G74" s="162"/>
      <c r="H74" s="162"/>
      <c r="I74" s="162"/>
      <c r="J74" s="162"/>
      <c r="K74" s="162"/>
      <c r="L74" s="162"/>
      <c r="M74" s="162"/>
    </row>
    <row r="75" spans="1:16">
      <c r="A75" s="36"/>
      <c r="B75" s="804"/>
    </row>
    <row r="76" spans="1:16">
      <c r="A76" s="36"/>
      <c r="B76" s="807" t="s">
        <v>214</v>
      </c>
      <c r="C76" s="156"/>
      <c r="D76" s="80"/>
      <c r="E76" s="80"/>
      <c r="F76" s="80"/>
      <c r="G76" s="80"/>
      <c r="H76" s="80"/>
      <c r="I76" s="80"/>
      <c r="J76" s="80"/>
      <c r="K76" s="80"/>
      <c r="L76" s="80"/>
      <c r="M76" s="80"/>
      <c r="N76" s="80"/>
    </row>
    <row r="77" spans="1:16">
      <c r="A77" s="36"/>
      <c r="B77" s="386" t="s">
        <v>213</v>
      </c>
      <c r="C77" s="385"/>
      <c r="D77" s="385"/>
      <c r="E77" s="385"/>
      <c r="F77" s="385"/>
      <c r="G77" s="385"/>
      <c r="H77" s="385"/>
      <c r="I77" s="385"/>
      <c r="J77" s="385"/>
      <c r="K77" s="385"/>
      <c r="L77" s="385"/>
      <c r="M77" s="385"/>
      <c r="N77" s="385"/>
    </row>
    <row r="78" spans="1:16" s="36" customFormat="1">
      <c r="B78" s="451"/>
      <c r="C78" s="390"/>
      <c r="D78" s="390"/>
      <c r="E78" s="390"/>
      <c r="F78" s="390"/>
      <c r="G78" s="390"/>
      <c r="H78" s="390"/>
      <c r="I78" s="390"/>
      <c r="J78" s="390"/>
      <c r="K78" s="390"/>
      <c r="L78" s="390"/>
      <c r="M78" s="390"/>
      <c r="N78" s="390"/>
    </row>
    <row r="79" spans="1:16">
      <c r="A79" s="36"/>
      <c r="B79" s="811" t="s">
        <v>217</v>
      </c>
      <c r="C79" s="161" t="str">
        <f>'RFPR cover'!$C$14</f>
        <v>£m 09/10</v>
      </c>
      <c r="D79" s="688">
        <f>INDEX(Data!$C$119:$L$146,MATCH('RFPR cover'!$C$5,Data!$B$119:$B$146,0),MATCH('R4 - Totex'!D$6,Data!$C$118:$L$118,0))</f>
        <v>10.952751093909903</v>
      </c>
      <c r="E79" s="689">
        <f>INDEX(Data!$C$119:$L$146,MATCH('RFPR cover'!$C$5,Data!$B$119:$B$146,0),MATCH('R4 - Totex'!E$6,Data!$C$118:$L$118,0))</f>
        <v>1.3412683602121493</v>
      </c>
      <c r="F79" s="689">
        <f>INDEX(Data!$C$119:$L$146,MATCH('RFPR cover'!$C$5,Data!$B$119:$B$146,0),MATCH('R4 - Totex'!F$6,Data!$C$118:$L$118,0))</f>
        <v>22.190179414419269</v>
      </c>
      <c r="G79" s="689">
        <f>INDEX(Data!$C$119:$L$146,MATCH('RFPR cover'!$C$5,Data!$B$119:$B$146,0),MATCH('R4 - Totex'!G$6,Data!$C$118:$L$118,0))</f>
        <v>7.0488483253947072</v>
      </c>
      <c r="H79" s="689">
        <f>INDEX(Data!$C$119:$L$146,MATCH('RFPR cover'!$C$5,Data!$B$119:$B$146,0),MATCH('R4 - Totex'!H$6,Data!$C$118:$L$118,0))</f>
        <v>6.9020695692988534</v>
      </c>
      <c r="I79" s="689">
        <f>INDEX(Data!$C$119:$L$146,MATCH('RFPR cover'!$C$5,Data!$B$119:$B$146,0),MATCH('R4 - Totex'!I$6,Data!$C$118:$L$118,0))</f>
        <v>6.9425238085580094</v>
      </c>
      <c r="J79" s="689">
        <f>INDEX(Data!$C$119:$L$146,MATCH('RFPR cover'!$C$5,Data!$B$119:$B$146,0),MATCH('R4 - Totex'!J$6,Data!$C$118:$L$118,0))</f>
        <v>7.0785069781779111</v>
      </c>
      <c r="K79" s="690">
        <f>INDEX(Data!$C$119:$L$146,MATCH('RFPR cover'!$C$5,Data!$B$119:$B$146,0),MATCH('R4 - Totex'!K$6,Data!$C$118:$L$118,0))</f>
        <v>5.2688524500291916</v>
      </c>
      <c r="L79" s="98">
        <f>SUM(D79:INDEX(D79:K79,0,MATCH('RFPR cover'!$C$7,$D$6:$K$6,0)))</f>
        <v>55.377640571792888</v>
      </c>
      <c r="M79" s="100">
        <f>SUM(D79:K79)</f>
        <v>67.724999999999994</v>
      </c>
    </row>
    <row r="80" spans="1:16">
      <c r="A80" s="36"/>
      <c r="B80" s="231" t="s">
        <v>201</v>
      </c>
      <c r="C80" s="161" t="s">
        <v>7</v>
      </c>
      <c r="D80" s="918">
        <f>IF(INDEX(Data!$J$73:$J$100,MATCH('RFPR cover'!$C$5,Data!$B$73:$B$100,0),0)="Pre",INDEX(Data!$G$18:$G$27,MATCH('R4 - Totex'!D$6,Data!$C$18:$C$27,0),0),"n/a")</f>
        <v>0.23</v>
      </c>
      <c r="E80" s="918">
        <f>IF(INDEX(Data!$J$73:$J$100,MATCH('RFPR cover'!$C$5,Data!$B$73:$B$100,0),0)="Pre",INDEX(Data!$G$18:$G$27,MATCH('R4 - Totex'!E$6,Data!$C$18:$C$27,0),0),"n/a")</f>
        <v>0.21</v>
      </c>
      <c r="F80" s="918">
        <f>IF(INDEX(Data!$J$73:$J$100,MATCH('RFPR cover'!$C$5,Data!$B$73:$B$100,0),0)="Pre",INDEX(Data!$G$18:$G$27,MATCH('R4 - Totex'!F$6,Data!$C$18:$C$27,0),0),"n/a")</f>
        <v>0.2</v>
      </c>
      <c r="G80" s="918">
        <f>IF(INDEX(Data!$J$73:$J$100,MATCH('RFPR cover'!$C$5,Data!$B$73:$B$100,0),0)="Pre",INDEX(Data!$G$18:$G$27,MATCH('R4 - Totex'!G$6,Data!$C$18:$C$27,0),0),"n/a")</f>
        <v>0.2</v>
      </c>
      <c r="H80" s="918">
        <f>IF(INDEX(Data!$J$73:$J$100,MATCH('RFPR cover'!$C$5,Data!$B$73:$B$100,0),0)="Pre",INDEX(Data!$G$18:$G$27,MATCH('R4 - Totex'!H$6,Data!$C$18:$C$27,0),0),"n/a")</f>
        <v>0.19</v>
      </c>
      <c r="I80" s="918">
        <f>IF(INDEX(Data!$J$73:$J$100,MATCH('RFPR cover'!$C$5,Data!$B$73:$B$100,0),0)="Pre",INDEX(Data!$G$18:$G$27,MATCH('R4 - Totex'!I$6,Data!$C$18:$C$27,0),0),"n/a")</f>
        <v>0.19</v>
      </c>
      <c r="J80" s="918">
        <f>IF(INDEX(Data!$J$73:$J$100,MATCH('RFPR cover'!$C$5,Data!$B$73:$B$100,0),0)="Pre",INDEX(Data!$G$18:$G$27,MATCH('R4 - Totex'!J$6,Data!$C$18:$C$27,0),0),"n/a")</f>
        <v>0.19</v>
      </c>
      <c r="K80" s="918">
        <f>IF(INDEX(Data!$J$73:$J$100,MATCH('RFPR cover'!$C$5,Data!$B$73:$B$100,0),0)="Pre",INDEX(Data!$G$18:$G$27,MATCH('R4 - Totex'!K$6,Data!$C$18:$C$27,0),0),"n/a")</f>
        <v>0.17</v>
      </c>
      <c r="L80" s="916"/>
      <c r="M80" s="917"/>
    </row>
    <row r="81" spans="1:16">
      <c r="A81" s="36"/>
      <c r="B81" s="231" t="s">
        <v>210</v>
      </c>
      <c r="C81" s="161" t="str">
        <f>'RFPR cover'!$C$14</f>
        <v>£m 09/10</v>
      </c>
      <c r="D81" s="635">
        <f>IF(ISNUMBER(D80),D79*(1-D80),D79)</f>
        <v>8.4336183423106252</v>
      </c>
      <c r="E81" s="636">
        <f t="shared" ref="E81:K81" si="26">IF(ISNUMBER(E80),E79*(1-E80),E79)</f>
        <v>1.059602004567598</v>
      </c>
      <c r="F81" s="636">
        <f t="shared" si="26"/>
        <v>17.752143531535417</v>
      </c>
      <c r="G81" s="636">
        <f t="shared" si="26"/>
        <v>5.6390786603157661</v>
      </c>
      <c r="H81" s="636">
        <f t="shared" si="26"/>
        <v>5.5906763511320721</v>
      </c>
      <c r="I81" s="636">
        <f t="shared" si="26"/>
        <v>5.6234442849319883</v>
      </c>
      <c r="J81" s="636">
        <f t="shared" si="26"/>
        <v>5.733590652324108</v>
      </c>
      <c r="K81" s="637">
        <f t="shared" si="26"/>
        <v>4.3731475335242287</v>
      </c>
      <c r="L81" s="694">
        <f>SUM(D81:INDEX(D81:K81,0,MATCH('RFPR cover'!$C$7,$D$6:$K$6,0)))</f>
        <v>44.098563174793469</v>
      </c>
      <c r="M81" s="695">
        <f>SUM(D81:K81)</f>
        <v>54.205301360641812</v>
      </c>
    </row>
    <row r="82" spans="1:16">
      <c r="A82" s="36"/>
      <c r="B82" s="231"/>
      <c r="C82" s="65"/>
      <c r="D82" s="293"/>
      <c r="E82" s="293"/>
      <c r="F82" s="293"/>
      <c r="G82" s="293"/>
      <c r="H82" s="293"/>
      <c r="I82" s="293"/>
      <c r="J82" s="293"/>
      <c r="K82" s="293"/>
      <c r="L82" s="294"/>
      <c r="M82" s="294"/>
    </row>
    <row r="83" spans="1:16">
      <c r="A83" s="36"/>
      <c r="B83" s="231"/>
      <c r="C83" s="65"/>
      <c r="D83" s="293"/>
      <c r="E83" s="293"/>
      <c r="F83" s="293"/>
      <c r="G83" s="293"/>
      <c r="H83" s="293"/>
      <c r="I83" s="293"/>
      <c r="J83" s="293"/>
      <c r="K83" s="293"/>
      <c r="L83" s="294"/>
      <c r="M83" s="294"/>
    </row>
    <row r="84" spans="1:16">
      <c r="A84" s="36"/>
      <c r="B84" s="231"/>
      <c r="C84" s="65"/>
      <c r="D84" s="293"/>
      <c r="E84" s="293"/>
      <c r="F84" s="293"/>
      <c r="G84" s="293"/>
      <c r="H84" s="293"/>
      <c r="I84" s="293"/>
      <c r="J84" s="293"/>
      <c r="K84" s="293"/>
      <c r="L84" s="294"/>
      <c r="M84" s="294"/>
    </row>
    <row r="85" spans="1:16">
      <c r="A85" s="36"/>
      <c r="B85" s="804"/>
    </row>
    <row r="86" spans="1:16">
      <c r="A86" s="36"/>
      <c r="B86" s="806" t="s">
        <v>187</v>
      </c>
      <c r="C86" s="302"/>
      <c r="D86" s="304"/>
      <c r="E86" s="304"/>
      <c r="F86" s="304"/>
      <c r="G86" s="304"/>
      <c r="H86" s="304"/>
      <c r="I86" s="304"/>
      <c r="J86" s="304"/>
      <c r="K86" s="304"/>
      <c r="L86" s="304"/>
      <c r="M86" s="304"/>
      <c r="N86" s="304"/>
    </row>
    <row r="87" spans="1:16">
      <c r="A87" s="36"/>
      <c r="B87" s="812"/>
    </row>
    <row r="88" spans="1:16">
      <c r="A88" s="36"/>
      <c r="B88" s="811" t="str">
        <f>Data!B34</f>
        <v>Financial Year Average RPI (RPIt)</v>
      </c>
      <c r="C88" s="142" t="s">
        <v>127</v>
      </c>
      <c r="D88" s="112">
        <f>Data!C$34</f>
        <v>1.1666890673736021</v>
      </c>
      <c r="E88" s="113">
        <f>Data!D$34</f>
        <v>1.1895563269638081</v>
      </c>
      <c r="F88" s="113">
        <f>Data!E$34</f>
        <v>1.2023757108362261</v>
      </c>
      <c r="G88" s="113">
        <f>Data!F$34</f>
        <v>1.2281396135646323</v>
      </c>
      <c r="H88" s="113">
        <f>Data!G$34</f>
        <v>1.2740965949380583</v>
      </c>
      <c r="I88" s="113">
        <f>Data!H$34</f>
        <v>1.3130274787154661</v>
      </c>
      <c r="J88" s="113">
        <f>Data!I$34</f>
        <v>1.3474944500317474</v>
      </c>
      <c r="K88" s="114">
        <f>Data!J$34</f>
        <v>1.3848874210201281</v>
      </c>
    </row>
    <row r="89" spans="1:16">
      <c r="A89" s="36"/>
      <c r="B89" s="811"/>
      <c r="D89" s="142"/>
      <c r="E89" s="142"/>
      <c r="F89" s="142"/>
      <c r="G89" s="142"/>
      <c r="H89" s="142"/>
      <c r="I89" s="142"/>
      <c r="J89" s="142"/>
      <c r="K89" s="142"/>
    </row>
    <row r="90" spans="1:16">
      <c r="A90" s="36"/>
      <c r="B90" s="807" t="str">
        <f>B10</f>
        <v>Totex</v>
      </c>
      <c r="C90" s="156"/>
      <c r="D90" s="81"/>
      <c r="E90" s="81"/>
      <c r="F90" s="81"/>
      <c r="G90" s="81"/>
      <c r="H90" s="81"/>
      <c r="I90" s="81"/>
      <c r="J90" s="81"/>
      <c r="K90" s="81"/>
      <c r="L90" s="81"/>
      <c r="M90" s="81"/>
      <c r="N90" s="81"/>
    </row>
    <row r="91" spans="1:16" s="36" customFormat="1">
      <c r="B91" s="808"/>
      <c r="C91" s="144"/>
      <c r="D91" s="335"/>
      <c r="E91" s="335"/>
      <c r="F91" s="335"/>
      <c r="G91" s="335"/>
      <c r="H91" s="335"/>
      <c r="I91" s="335"/>
      <c r="J91" s="335"/>
      <c r="K91" s="335"/>
      <c r="L91" s="335"/>
      <c r="M91" s="335"/>
      <c r="N91" s="335"/>
    </row>
    <row r="92" spans="1:16">
      <c r="A92" s="36"/>
      <c r="B92" s="320" t="s">
        <v>34</v>
      </c>
      <c r="C92" s="161" t="s">
        <v>128</v>
      </c>
      <c r="D92" s="697">
        <f t="shared" ref="D92:K93" si="27">D12*D$88</f>
        <v>239.58219065383591</v>
      </c>
      <c r="E92" s="697">
        <f t="shared" si="27"/>
        <v>279.8152616738596</v>
      </c>
      <c r="F92" s="697">
        <f t="shared" si="27"/>
        <v>355.59718540959261</v>
      </c>
      <c r="G92" s="697">
        <f t="shared" si="27"/>
        <v>345.64707255132066</v>
      </c>
      <c r="H92" s="697">
        <f t="shared" si="27"/>
        <v>238.7971852251641</v>
      </c>
      <c r="I92" s="697">
        <f t="shared" si="27"/>
        <v>187.68709731029151</v>
      </c>
      <c r="J92" s="697">
        <f t="shared" si="27"/>
        <v>256.35086531755491</v>
      </c>
      <c r="K92" s="697">
        <f t="shared" si="27"/>
        <v>280.83650663616254</v>
      </c>
      <c r="L92" s="696">
        <f>SUM(D92:INDEX(D92:K92,0,MATCH('RFPR cover'!$C$7,$D$6:$K$6,0)))</f>
        <v>1647.1259928240647</v>
      </c>
      <c r="M92" s="697">
        <f>SUM(D92:K92)</f>
        <v>2184.3133647777822</v>
      </c>
      <c r="N92" s="63"/>
      <c r="O92" s="63"/>
    </row>
    <row r="93" spans="1:16" ht="25.5">
      <c r="A93" s="36"/>
      <c r="B93" s="809" t="s">
        <v>197</v>
      </c>
      <c r="C93" s="161" t="s">
        <v>128</v>
      </c>
      <c r="D93" s="697">
        <f t="shared" si="27"/>
        <v>364.41002884839639</v>
      </c>
      <c r="E93" s="697">
        <f t="shared" si="27"/>
        <v>465.72523413246</v>
      </c>
      <c r="F93" s="697">
        <f t="shared" si="27"/>
        <v>354.12226138890577</v>
      </c>
      <c r="G93" s="697">
        <f t="shared" si="27"/>
        <v>181.04932195432247</v>
      </c>
      <c r="H93" s="697">
        <f t="shared" si="27"/>
        <v>246.09846984861622</v>
      </c>
      <c r="I93" s="697">
        <f t="shared" si="27"/>
        <v>275.65929351718745</v>
      </c>
      <c r="J93" s="697">
        <f t="shared" si="27"/>
        <v>237.04622167754607</v>
      </c>
      <c r="K93" s="697">
        <f t="shared" si="27"/>
        <v>102.88758601223839</v>
      </c>
      <c r="L93" s="698">
        <f>SUM(D93:INDEX(D93:K93,0,MATCH('RFPR cover'!$C$7,$D$6:$K$6,0)))</f>
        <v>1887.0646096898886</v>
      </c>
      <c r="M93" s="699">
        <f>SUM(D93:K93)</f>
        <v>2226.9984173796729</v>
      </c>
      <c r="N93" s="63"/>
      <c r="O93" s="63"/>
    </row>
    <row r="94" spans="1:16">
      <c r="A94" s="36"/>
      <c r="B94" s="810" t="s">
        <v>195</v>
      </c>
      <c r="C94" s="161" t="s">
        <v>128</v>
      </c>
      <c r="D94" s="102">
        <f>D93-D92</f>
        <v>124.82783819456048</v>
      </c>
      <c r="E94" s="103">
        <f t="shared" ref="E94:M94" si="28">E93-E92</f>
        <v>185.90997245860041</v>
      </c>
      <c r="F94" s="103">
        <f t="shared" si="28"/>
        <v>-1.4749240206868421</v>
      </c>
      <c r="G94" s="103">
        <f t="shared" si="28"/>
        <v>-164.5977505969982</v>
      </c>
      <c r="H94" s="103">
        <f t="shared" si="28"/>
        <v>7.3012846234521191</v>
      </c>
      <c r="I94" s="103">
        <f t="shared" si="28"/>
        <v>87.972196206895944</v>
      </c>
      <c r="J94" s="103">
        <f t="shared" si="28"/>
        <v>-19.304643640008834</v>
      </c>
      <c r="K94" s="104">
        <f t="shared" si="28"/>
        <v>-177.94892062392415</v>
      </c>
      <c r="L94" s="102">
        <f t="shared" si="28"/>
        <v>239.93861686582386</v>
      </c>
      <c r="M94" s="104">
        <f t="shared" si="28"/>
        <v>42.685052601890675</v>
      </c>
      <c r="N94" s="63"/>
      <c r="O94" s="995"/>
      <c r="P94" s="995"/>
    </row>
    <row r="95" spans="1:16">
      <c r="A95" s="36"/>
      <c r="B95" s="810"/>
      <c r="C95" s="161"/>
      <c r="D95" s="59"/>
      <c r="E95" s="59"/>
      <c r="F95" s="59"/>
      <c r="G95" s="59"/>
      <c r="H95" s="59"/>
      <c r="I95" s="59"/>
      <c r="J95" s="59"/>
      <c r="K95" s="59"/>
      <c r="L95" s="59"/>
      <c r="M95" s="59"/>
      <c r="O95" s="64"/>
      <c r="P95" s="64"/>
    </row>
    <row r="96" spans="1:16">
      <c r="A96" s="36"/>
      <c r="B96" s="804" t="s">
        <v>178</v>
      </c>
      <c r="C96" s="142" t="s">
        <v>7</v>
      </c>
      <c r="D96" s="109">
        <f>1-INDEX(Data!$D$73:$D$100,MATCH('RFPR cover'!$C$5,Data!$B$73:$B$100,0),0)</f>
        <v>0.5</v>
      </c>
      <c r="E96" s="110">
        <f>1-INDEX(Data!$D$73:$D$100,MATCH('RFPR cover'!$C$5,Data!$B$73:$B$100,0),0)</f>
        <v>0.5</v>
      </c>
      <c r="F96" s="110">
        <f>1-INDEX(Data!$D$73:$D$100,MATCH('RFPR cover'!$C$5,Data!$B$73:$B$100,0),0)</f>
        <v>0.5</v>
      </c>
      <c r="G96" s="110">
        <f>1-INDEX(Data!$D$73:$D$100,MATCH('RFPR cover'!$C$5,Data!$B$73:$B$100,0),0)</f>
        <v>0.5</v>
      </c>
      <c r="H96" s="110">
        <f>1-INDEX(Data!$D$73:$D$100,MATCH('RFPR cover'!$C$5,Data!$B$73:$B$100,0),0)</f>
        <v>0.5</v>
      </c>
      <c r="I96" s="110">
        <f>1-INDEX(Data!$D$73:$D$100,MATCH('RFPR cover'!$C$5,Data!$B$73:$B$100,0),0)</f>
        <v>0.5</v>
      </c>
      <c r="J96" s="110">
        <f>1-INDEX(Data!$D$73:$D$100,MATCH('RFPR cover'!$C$5,Data!$B$73:$B$100,0),0)</f>
        <v>0.5</v>
      </c>
      <c r="K96" s="111">
        <f>1-INDEX(Data!$D$73:$D$100,MATCH('RFPR cover'!$C$5,Data!$B$73:$B$100,0),0)</f>
        <v>0.5</v>
      </c>
      <c r="L96" s="62"/>
      <c r="M96" s="62"/>
      <c r="O96"/>
      <c r="P96"/>
    </row>
    <row r="97" spans="1:16">
      <c r="A97" s="36"/>
      <c r="B97" s="804"/>
      <c r="O97"/>
      <c r="P97"/>
    </row>
    <row r="98" spans="1:16">
      <c r="A98" s="36"/>
      <c r="B98" s="811" t="s">
        <v>183</v>
      </c>
      <c r="C98" s="161" t="s">
        <v>128</v>
      </c>
      <c r="D98" s="95">
        <f>D94*D96</f>
        <v>62.413919097280242</v>
      </c>
      <c r="E98" s="96">
        <f t="shared" ref="E98:K98" si="29">E94*E96</f>
        <v>92.954986229300204</v>
      </c>
      <c r="F98" s="96">
        <f t="shared" si="29"/>
        <v>-0.73746201034342107</v>
      </c>
      <c r="G98" s="96">
        <f t="shared" si="29"/>
        <v>-82.298875298499098</v>
      </c>
      <c r="H98" s="96">
        <f t="shared" si="29"/>
        <v>3.6506423117260596</v>
      </c>
      <c r="I98" s="96">
        <f t="shared" si="29"/>
        <v>43.986098103447972</v>
      </c>
      <c r="J98" s="96">
        <f t="shared" si="29"/>
        <v>-9.652321820004417</v>
      </c>
      <c r="K98" s="96">
        <f t="shared" si="29"/>
        <v>-88.974460311962076</v>
      </c>
      <c r="L98" s="95">
        <f>SUM(D98:INDEX(D98:K98,0,MATCH('RFPR cover'!$C$7,$D$6:$K$6,0)))</f>
        <v>119.96930843291194</v>
      </c>
      <c r="M98" s="97">
        <f>SUM(D98:K98)</f>
        <v>21.342526300945451</v>
      </c>
      <c r="O98"/>
      <c r="P98"/>
    </row>
    <row r="99" spans="1:16">
      <c r="A99" s="36"/>
      <c r="B99" s="811" t="s">
        <v>280</v>
      </c>
      <c r="C99" s="161" t="s">
        <v>128</v>
      </c>
      <c r="D99" s="92">
        <f>D94*(1-D96)</f>
        <v>62.413919097280242</v>
      </c>
      <c r="E99" s="93">
        <f t="shared" ref="E99:K99" si="30">E94*(1-E96)</f>
        <v>92.954986229300204</v>
      </c>
      <c r="F99" s="93">
        <f t="shared" si="30"/>
        <v>-0.73746201034342107</v>
      </c>
      <c r="G99" s="93">
        <f t="shared" si="30"/>
        <v>-82.298875298499098</v>
      </c>
      <c r="H99" s="93">
        <f t="shared" si="30"/>
        <v>3.6506423117260596</v>
      </c>
      <c r="I99" s="93">
        <f t="shared" si="30"/>
        <v>43.986098103447972</v>
      </c>
      <c r="J99" s="93">
        <f t="shared" si="30"/>
        <v>-9.652321820004417</v>
      </c>
      <c r="K99" s="93">
        <f t="shared" si="30"/>
        <v>-88.974460311962076</v>
      </c>
      <c r="L99" s="92">
        <f>SUM(D99:INDEX(D99:K99,0,MATCH('RFPR cover'!$C$7,$D$6:$K$6,0)))</f>
        <v>119.96930843291194</v>
      </c>
      <c r="M99" s="94">
        <f>SUM(D99:K99)</f>
        <v>21.342526300945451</v>
      </c>
      <c r="O99"/>
      <c r="P99"/>
    </row>
    <row r="100" spans="1:16">
      <c r="A100" s="36"/>
      <c r="B100" s="804"/>
      <c r="O100"/>
      <c r="P100"/>
    </row>
    <row r="101" spans="1:16">
      <c r="A101" s="36"/>
      <c r="B101" s="812" t="s">
        <v>182</v>
      </c>
      <c r="N101" s="63"/>
      <c r="O101"/>
      <c r="P101"/>
    </row>
    <row r="102" spans="1:16">
      <c r="A102" s="279" t="s">
        <v>151</v>
      </c>
      <c r="B102" s="231" t="str">
        <f>B22</f>
        <v>Western HVDC (profiling)</v>
      </c>
      <c r="C102" s="161" t="s">
        <v>128</v>
      </c>
      <c r="D102" s="617">
        <f t="shared" ref="D102:K105" si="31">D22*D$88</f>
        <v>-20.472361782108276</v>
      </c>
      <c r="E102" s="617">
        <f t="shared" si="31"/>
        <v>-60.212494322945581</v>
      </c>
      <c r="F102" s="617">
        <f t="shared" si="31"/>
        <v>-24.417453575657621</v>
      </c>
      <c r="G102" s="617">
        <f t="shared" si="31"/>
        <v>63.132365236248212</v>
      </c>
      <c r="H102" s="617">
        <f t="shared" si="31"/>
        <v>28.462368139709024</v>
      </c>
      <c r="I102" s="617">
        <f t="shared" si="31"/>
        <v>11.884256232487225</v>
      </c>
      <c r="J102" s="617">
        <f t="shared" si="31"/>
        <v>7.6504228300572548</v>
      </c>
      <c r="K102" s="617">
        <f t="shared" si="31"/>
        <v>0</v>
      </c>
      <c r="L102" s="609">
        <f>SUM(D102:INDEX(D102:K102,0,MATCH('RFPR cover'!$C$7,$D$6:$K$6,0)))</f>
        <v>-1.6233200722670098</v>
      </c>
      <c r="M102" s="610">
        <f t="shared" ref="M102:M108" si="32">SUM(D102:K102)</f>
        <v>6.027102757790245</v>
      </c>
      <c r="N102" s="63"/>
      <c r="O102"/>
      <c r="P102"/>
    </row>
    <row r="103" spans="1:16">
      <c r="A103" s="279" t="s">
        <v>152</v>
      </c>
      <c r="B103" s="231" t="str">
        <f>B23</f>
        <v xml:space="preserve">Baseline WiderWorks - Other </v>
      </c>
      <c r="C103" s="161" t="s">
        <v>128</v>
      </c>
      <c r="D103" s="617">
        <f t="shared" si="31"/>
        <v>-21.305810288690413</v>
      </c>
      <c r="E103" s="617">
        <f t="shared" si="31"/>
        <v>-15.722335110964204</v>
      </c>
      <c r="F103" s="617">
        <f t="shared" si="31"/>
        <v>17.615666047342902</v>
      </c>
      <c r="G103" s="617">
        <f t="shared" si="31"/>
        <v>16.817142510779014</v>
      </c>
      <c r="H103" s="617">
        <f t="shared" si="31"/>
        <v>12.711144877653053</v>
      </c>
      <c r="I103" s="617">
        <f t="shared" si="31"/>
        <v>-3.1207811015219007</v>
      </c>
      <c r="J103" s="617">
        <f t="shared" si="31"/>
        <v>-3.7511273206445419</v>
      </c>
      <c r="K103" s="617">
        <f t="shared" si="31"/>
        <v>-2.3282548498121476</v>
      </c>
      <c r="L103" s="613">
        <f>SUM(D103:INDEX(D103:K103,0,MATCH('RFPR cover'!$C$7,$D$6:$K$6,0)))</f>
        <v>6.9950269345984495</v>
      </c>
      <c r="M103" s="614">
        <f t="shared" si="32"/>
        <v>0.91564476414175999</v>
      </c>
      <c r="N103" s="63"/>
      <c r="O103"/>
      <c r="P103"/>
    </row>
    <row r="104" spans="1:16">
      <c r="A104" s="279" t="s">
        <v>153</v>
      </c>
      <c r="B104" s="231" t="str">
        <f>B24</f>
        <v>Generation Connections (Infrastructure)</v>
      </c>
      <c r="C104" s="161" t="s">
        <v>128</v>
      </c>
      <c r="D104" s="617">
        <f t="shared" si="31"/>
        <v>-62.317829013315908</v>
      </c>
      <c r="E104" s="617">
        <f t="shared" si="31"/>
        <v>-60.251423975678691</v>
      </c>
      <c r="F104" s="617">
        <f t="shared" si="31"/>
        <v>47.03520074682605</v>
      </c>
      <c r="G104" s="617">
        <f t="shared" si="31"/>
        <v>80.775822655314201</v>
      </c>
      <c r="H104" s="617">
        <f t="shared" si="31"/>
        <v>-35.582715450864477</v>
      </c>
      <c r="I104" s="617">
        <f t="shared" si="31"/>
        <v>-37.90610181667536</v>
      </c>
      <c r="J104" s="617">
        <f t="shared" si="31"/>
        <v>-7.8411886325972286</v>
      </c>
      <c r="K104" s="617">
        <f t="shared" si="31"/>
        <v>85.573966431398404</v>
      </c>
      <c r="L104" s="613">
        <f>SUM(D104:INDEX(D104:K104,0,MATCH('RFPR cover'!$C$7,$D$6:$K$6,0)))</f>
        <v>-68.247046854394199</v>
      </c>
      <c r="M104" s="614">
        <f t="shared" si="32"/>
        <v>9.4857309444069813</v>
      </c>
      <c r="N104" s="63"/>
      <c r="O104"/>
      <c r="P104"/>
    </row>
    <row r="105" spans="1:16">
      <c r="A105" s="279" t="s">
        <v>168</v>
      </c>
      <c r="B105" s="231" t="str">
        <f>B25</f>
        <v>Connections - Excluded Services</v>
      </c>
      <c r="C105" s="161" t="s">
        <v>128</v>
      </c>
      <c r="D105" s="617">
        <f t="shared" si="31"/>
        <v>-8.9615865921656965</v>
      </c>
      <c r="E105" s="617">
        <f t="shared" si="31"/>
        <v>-7.5796536039405327</v>
      </c>
      <c r="F105" s="617">
        <f t="shared" si="31"/>
        <v>3.3259024473971812</v>
      </c>
      <c r="G105" s="617">
        <f t="shared" si="31"/>
        <v>3.5274252724279931</v>
      </c>
      <c r="H105" s="617">
        <f t="shared" si="31"/>
        <v>5.7252698043210835E-2</v>
      </c>
      <c r="I105" s="617">
        <f t="shared" si="31"/>
        <v>-10.029399851021422</v>
      </c>
      <c r="J105" s="617">
        <f t="shared" si="31"/>
        <v>8.029030884446227</v>
      </c>
      <c r="K105" s="617">
        <f t="shared" si="31"/>
        <v>11.268073836250462</v>
      </c>
      <c r="L105" s="613">
        <f>SUM(D105:INDEX(D105:K105,0,MATCH('RFPR cover'!$C$7,$D$6:$K$6,0)))</f>
        <v>-19.660059629259266</v>
      </c>
      <c r="M105" s="614">
        <f t="shared" si="32"/>
        <v>-0.36295490856257651</v>
      </c>
      <c r="N105" s="63"/>
      <c r="O105"/>
      <c r="P105"/>
    </row>
    <row r="106" spans="1:16">
      <c r="A106" s="279" t="s">
        <v>169</v>
      </c>
      <c r="B106" s="231" t="str">
        <f>B27</f>
        <v>Asset Replacement</v>
      </c>
      <c r="C106" s="161" t="s">
        <v>128</v>
      </c>
      <c r="D106" s="617">
        <f t="shared" ref="D106:K107" si="33">D27*D$88</f>
        <v>37.265421558028876</v>
      </c>
      <c r="E106" s="617">
        <f t="shared" si="33"/>
        <v>22.914111766741637</v>
      </c>
      <c r="F106" s="617">
        <f t="shared" si="33"/>
        <v>-16.288997615209734</v>
      </c>
      <c r="G106" s="617">
        <f t="shared" si="33"/>
        <v>0.77778062152928173</v>
      </c>
      <c r="H106" s="617">
        <f t="shared" si="33"/>
        <v>-15.455536622364638</v>
      </c>
      <c r="I106" s="617">
        <f t="shared" si="33"/>
        <v>-22.341510016932023</v>
      </c>
      <c r="J106" s="617">
        <f t="shared" si="33"/>
        <v>-13.814620865015907</v>
      </c>
      <c r="K106" s="617">
        <f t="shared" si="33"/>
        <v>1.5345371069260683</v>
      </c>
      <c r="L106" s="613">
        <f>SUM(D106:INDEX(D106:K106,0,MATCH('RFPR cover'!$C$7,$D$6:$K$6,0)))</f>
        <v>6.8712696917933975</v>
      </c>
      <c r="M106" s="614">
        <f t="shared" si="32"/>
        <v>-5.4088140662964417</v>
      </c>
      <c r="N106" s="63"/>
      <c r="O106"/>
      <c r="P106"/>
    </row>
    <row r="107" spans="1:16">
      <c r="A107" s="279" t="s">
        <v>170</v>
      </c>
      <c r="B107" s="231" t="str">
        <f>B28</f>
        <v>Other Non-Load and Non-Op Capex</v>
      </c>
      <c r="C107" s="161" t="s">
        <v>128</v>
      </c>
      <c r="D107" s="617">
        <f t="shared" si="33"/>
        <v>-10.222024527242631</v>
      </c>
      <c r="E107" s="617">
        <f t="shared" si="33"/>
        <v>-9.4476240739289867</v>
      </c>
      <c r="F107" s="617">
        <f t="shared" si="33"/>
        <v>-4.192453547349368</v>
      </c>
      <c r="G107" s="617">
        <f t="shared" si="33"/>
        <v>-22.830182067606081</v>
      </c>
      <c r="H107" s="617">
        <f t="shared" si="33"/>
        <v>-17.025265854425413</v>
      </c>
      <c r="I107" s="617">
        <f t="shared" si="33"/>
        <v>1.9310732704882791</v>
      </c>
      <c r="J107" s="617">
        <f t="shared" si="33"/>
        <v>27.560544696269538</v>
      </c>
      <c r="K107" s="617">
        <f t="shared" si="33"/>
        <v>41.849210388370828</v>
      </c>
      <c r="L107" s="617">
        <f>SUM(D107:INDEX(D107:K107,0,MATCH('RFPR cover'!$C$7,$D$6:$K$6,0)))</f>
        <v>-61.7864768000642</v>
      </c>
      <c r="M107" s="618">
        <f t="shared" si="32"/>
        <v>7.6232782845761662</v>
      </c>
      <c r="N107" s="63"/>
      <c r="O107"/>
      <c r="P107"/>
    </row>
    <row r="108" spans="1:16">
      <c r="A108" s="36"/>
      <c r="B108" s="812" t="s">
        <v>190</v>
      </c>
      <c r="C108" s="161" t="s">
        <v>128</v>
      </c>
      <c r="D108" s="102">
        <f>SUM(D102:D107)</f>
        <v>-86.01419064549404</v>
      </c>
      <c r="E108" s="103">
        <f t="shared" ref="E108:K108" si="34">SUM(E102:E107)</f>
        <v>-130.29941932071634</v>
      </c>
      <c r="F108" s="103">
        <f t="shared" si="34"/>
        <v>23.07786450334941</v>
      </c>
      <c r="G108" s="103">
        <f t="shared" si="34"/>
        <v>142.20035422869262</v>
      </c>
      <c r="H108" s="103">
        <f t="shared" si="34"/>
        <v>-26.83275221224924</v>
      </c>
      <c r="I108" s="103">
        <f t="shared" si="34"/>
        <v>-59.582463283175208</v>
      </c>
      <c r="J108" s="103">
        <f t="shared" si="34"/>
        <v>17.833061592515342</v>
      </c>
      <c r="K108" s="104">
        <f t="shared" si="34"/>
        <v>137.8975329131336</v>
      </c>
      <c r="L108" s="102">
        <f>SUM(D108:INDEX(D108:K108,0,MATCH('RFPR cover'!$C$7,$D$6:$K$6,0)))</f>
        <v>-137.45060672959278</v>
      </c>
      <c r="M108" s="104">
        <f t="shared" si="32"/>
        <v>18.279987776056174</v>
      </c>
      <c r="N108" s="63"/>
    </row>
    <row r="109" spans="1:16">
      <c r="A109" s="36"/>
      <c r="B109" s="804"/>
    </row>
    <row r="110" spans="1:16">
      <c r="A110" s="36"/>
      <c r="B110" s="811" t="s">
        <v>198</v>
      </c>
      <c r="C110" s="161" t="s">
        <v>128</v>
      </c>
      <c r="D110" s="95">
        <f t="shared" ref="D110:K110" si="35">D108*D96</f>
        <v>-43.00709532274702</v>
      </c>
      <c r="E110" s="96">
        <f t="shared" si="35"/>
        <v>-65.14970966035817</v>
      </c>
      <c r="F110" s="96">
        <f t="shared" si="35"/>
        <v>11.538932251674705</v>
      </c>
      <c r="G110" s="96">
        <f t="shared" si="35"/>
        <v>71.100177114346309</v>
      </c>
      <c r="H110" s="96">
        <f t="shared" si="35"/>
        <v>-13.41637610612462</v>
      </c>
      <c r="I110" s="96">
        <f t="shared" si="35"/>
        <v>-29.791231641587604</v>
      </c>
      <c r="J110" s="96">
        <f t="shared" si="35"/>
        <v>8.9165307962576712</v>
      </c>
      <c r="K110" s="96">
        <f t="shared" si="35"/>
        <v>68.948766456566801</v>
      </c>
      <c r="L110" s="95">
        <f>SUM(D110:INDEX(D110:K110,0,MATCH('RFPR cover'!$C$7,$D$6:$K$6,0)))</f>
        <v>-68.725303364796389</v>
      </c>
      <c r="M110" s="97">
        <f>SUM(D110:K110)</f>
        <v>9.1399938880280871</v>
      </c>
    </row>
    <row r="111" spans="1:16">
      <c r="A111" s="36"/>
      <c r="B111" s="811" t="s">
        <v>310</v>
      </c>
      <c r="C111" s="161" t="s">
        <v>128</v>
      </c>
      <c r="D111" s="92">
        <f t="shared" ref="D111:K111" si="36">D108*(1-D96)</f>
        <v>-43.00709532274702</v>
      </c>
      <c r="E111" s="93">
        <f t="shared" si="36"/>
        <v>-65.14970966035817</v>
      </c>
      <c r="F111" s="93">
        <f t="shared" si="36"/>
        <v>11.538932251674705</v>
      </c>
      <c r="G111" s="93">
        <f t="shared" si="36"/>
        <v>71.100177114346309</v>
      </c>
      <c r="H111" s="93">
        <f t="shared" si="36"/>
        <v>-13.41637610612462</v>
      </c>
      <c r="I111" s="93">
        <f t="shared" si="36"/>
        <v>-29.791231641587604</v>
      </c>
      <c r="J111" s="93">
        <f t="shared" si="36"/>
        <v>8.9165307962576712</v>
      </c>
      <c r="K111" s="93">
        <f t="shared" si="36"/>
        <v>68.948766456566801</v>
      </c>
      <c r="L111" s="92">
        <f>SUM(D111:INDEX(D111:K111,0,MATCH('RFPR cover'!$C$7,$D$6:$K$6,0)))</f>
        <v>-68.725303364796389</v>
      </c>
      <c r="M111" s="94">
        <f>SUM(D111:K111)</f>
        <v>9.1399938880280871</v>
      </c>
    </row>
    <row r="112" spans="1:16">
      <c r="A112" s="36"/>
      <c r="B112" s="804"/>
    </row>
    <row r="113" spans="1:16">
      <c r="A113" s="36"/>
      <c r="B113" s="812" t="s">
        <v>181</v>
      </c>
    </row>
    <row r="114" spans="1:16">
      <c r="A114" s="36"/>
      <c r="B114" s="804" t="s">
        <v>180</v>
      </c>
      <c r="C114" s="161" t="s">
        <v>128</v>
      </c>
      <c r="D114" s="95">
        <f>D98+D110</f>
        <v>19.406823774533223</v>
      </c>
      <c r="E114" s="96">
        <f t="shared" ref="E114:K114" si="37">E98+E110</f>
        <v>27.805276568942034</v>
      </c>
      <c r="F114" s="96">
        <f t="shared" si="37"/>
        <v>10.801470241331284</v>
      </c>
      <c r="G114" s="96">
        <f t="shared" si="37"/>
        <v>-11.198698184152789</v>
      </c>
      <c r="H114" s="96">
        <f t="shared" si="37"/>
        <v>-9.7657337943985603</v>
      </c>
      <c r="I114" s="96">
        <f t="shared" si="37"/>
        <v>14.194866461860368</v>
      </c>
      <c r="J114" s="96">
        <f t="shared" si="37"/>
        <v>-0.73579102374674576</v>
      </c>
      <c r="K114" s="96">
        <f t="shared" si="37"/>
        <v>-20.025693855395275</v>
      </c>
      <c r="L114" s="95">
        <f>SUM(D114:INDEX(D114:K114,0,MATCH('RFPR cover'!$C$7,$D$6:$K$6,0)))</f>
        <v>51.24400506811557</v>
      </c>
      <c r="M114" s="97">
        <f>SUM(D114:K114)</f>
        <v>30.482520188973552</v>
      </c>
    </row>
    <row r="115" spans="1:16">
      <c r="A115" s="36"/>
      <c r="B115" s="804" t="s">
        <v>280</v>
      </c>
      <c r="C115" s="161" t="s">
        <v>128</v>
      </c>
      <c r="D115" s="544">
        <f>D99+D111</f>
        <v>19.406823774533223</v>
      </c>
      <c r="E115" s="545">
        <f t="shared" ref="E115:K115" si="38">E99+E111</f>
        <v>27.805276568942034</v>
      </c>
      <c r="F115" s="545">
        <f t="shared" si="38"/>
        <v>10.801470241331284</v>
      </c>
      <c r="G115" s="545">
        <f t="shared" si="38"/>
        <v>-11.198698184152789</v>
      </c>
      <c r="H115" s="545">
        <f t="shared" si="38"/>
        <v>-9.7657337943985603</v>
      </c>
      <c r="I115" s="545">
        <f t="shared" si="38"/>
        <v>14.194866461860368</v>
      </c>
      <c r="J115" s="545">
        <f t="shared" si="38"/>
        <v>-0.73579102374674576</v>
      </c>
      <c r="K115" s="545">
        <f t="shared" si="38"/>
        <v>-20.025693855395275</v>
      </c>
      <c r="L115" s="544">
        <f>SUM(D115:INDEX(D115:K115,0,MATCH('RFPR cover'!$C$7,$D$6:$K$6,0)))</f>
        <v>51.24400506811557</v>
      </c>
      <c r="M115" s="546">
        <f>SUM(D115:K115)</f>
        <v>30.482520188973552</v>
      </c>
    </row>
    <row r="116" spans="1:16">
      <c r="A116" s="36"/>
      <c r="B116" s="812" t="s">
        <v>11</v>
      </c>
      <c r="C116" s="162" t="s">
        <v>128</v>
      </c>
      <c r="D116" s="151">
        <f>SUM(D114:D115)</f>
        <v>38.813647549066445</v>
      </c>
      <c r="E116" s="152">
        <f t="shared" ref="E116:K116" si="39">SUM(E114:E115)</f>
        <v>55.610553137884068</v>
      </c>
      <c r="F116" s="152">
        <f t="shared" si="39"/>
        <v>21.602940482662568</v>
      </c>
      <c r="G116" s="152">
        <f t="shared" si="39"/>
        <v>-22.397396368305579</v>
      </c>
      <c r="H116" s="152">
        <f t="shared" si="39"/>
        <v>-19.531467588797121</v>
      </c>
      <c r="I116" s="152">
        <f t="shared" si="39"/>
        <v>28.389732923720736</v>
      </c>
      <c r="J116" s="152">
        <f t="shared" si="39"/>
        <v>-1.4715820474934915</v>
      </c>
      <c r="K116" s="152">
        <f t="shared" si="39"/>
        <v>-40.05138771079055</v>
      </c>
      <c r="L116" s="151">
        <f>SUM(D116:INDEX(D116:K116,0,MATCH('RFPR cover'!$C$7,$D$6:$K$6,0)))</f>
        <v>102.48801013623114</v>
      </c>
      <c r="M116" s="153">
        <f>SUM(D116:K116)</f>
        <v>60.965040377947105</v>
      </c>
    </row>
    <row r="117" spans="1:16">
      <c r="A117" s="36"/>
      <c r="B117" s="804"/>
    </row>
    <row r="118" spans="1:16">
      <c r="A118" s="36"/>
      <c r="B118" s="807" t="str">
        <f>B40</f>
        <v>n/a</v>
      </c>
      <c r="C118" s="156"/>
      <c r="D118" s="81"/>
      <c r="E118" s="81"/>
      <c r="F118" s="81"/>
      <c r="G118" s="81"/>
      <c r="H118" s="81"/>
      <c r="I118" s="81"/>
      <c r="J118" s="81"/>
      <c r="K118" s="81"/>
      <c r="L118" s="81"/>
      <c r="M118" s="81"/>
      <c r="N118" s="81"/>
    </row>
    <row r="119" spans="1:16" s="36" customFormat="1">
      <c r="B119" s="805"/>
      <c r="C119" s="144"/>
      <c r="D119" s="335"/>
      <c r="E119" s="335"/>
      <c r="F119" s="335"/>
      <c r="G119" s="335"/>
      <c r="H119" s="335"/>
      <c r="I119" s="335"/>
      <c r="J119" s="335"/>
      <c r="K119" s="335"/>
      <c r="L119" s="335"/>
      <c r="M119" s="335"/>
      <c r="N119" s="335"/>
    </row>
    <row r="120" spans="1:16">
      <c r="A120" s="36"/>
      <c r="B120" s="320" t="s">
        <v>34</v>
      </c>
      <c r="C120" s="161" t="s">
        <v>128</v>
      </c>
      <c r="D120" s="696">
        <f t="shared" ref="D120:K121" si="40">D42*D$88</f>
        <v>0</v>
      </c>
      <c r="E120" s="696">
        <f t="shared" si="40"/>
        <v>0</v>
      </c>
      <c r="F120" s="696">
        <f t="shared" si="40"/>
        <v>0</v>
      </c>
      <c r="G120" s="696">
        <f t="shared" si="40"/>
        <v>0</v>
      </c>
      <c r="H120" s="696">
        <f t="shared" si="40"/>
        <v>0</v>
      </c>
      <c r="I120" s="696">
        <f t="shared" si="40"/>
        <v>0</v>
      </c>
      <c r="J120" s="696">
        <f t="shared" si="40"/>
        <v>0</v>
      </c>
      <c r="K120" s="696">
        <f t="shared" si="40"/>
        <v>0</v>
      </c>
      <c r="L120" s="696">
        <f>SUM(D120:INDEX(D120:K120,0,MATCH('RFPR cover'!$C$7,$D$6:$K$6,0)))</f>
        <v>0</v>
      </c>
      <c r="M120" s="697">
        <f>SUM(D120:K120)</f>
        <v>0</v>
      </c>
      <c r="N120" s="63"/>
      <c r="O120" s="63"/>
    </row>
    <row r="121" spans="1:16" ht="25.5">
      <c r="A121" s="36"/>
      <c r="B121" s="809" t="s">
        <v>197</v>
      </c>
      <c r="C121" s="161" t="s">
        <v>128</v>
      </c>
      <c r="D121" s="696">
        <f t="shared" si="40"/>
        <v>0</v>
      </c>
      <c r="E121" s="696">
        <f t="shared" si="40"/>
        <v>0</v>
      </c>
      <c r="F121" s="696">
        <f t="shared" si="40"/>
        <v>0</v>
      </c>
      <c r="G121" s="696">
        <f t="shared" si="40"/>
        <v>0</v>
      </c>
      <c r="H121" s="696">
        <f t="shared" si="40"/>
        <v>0</v>
      </c>
      <c r="I121" s="696">
        <f t="shared" si="40"/>
        <v>0</v>
      </c>
      <c r="J121" s="696">
        <f t="shared" si="40"/>
        <v>0</v>
      </c>
      <c r="K121" s="696">
        <f t="shared" si="40"/>
        <v>0</v>
      </c>
      <c r="L121" s="698">
        <f>SUM(D121:INDEX(D121:K121,0,MATCH('RFPR cover'!$C$7,$D$6:$K$6,0)))</f>
        <v>0</v>
      </c>
      <c r="M121" s="699">
        <f>SUM(D121:K121)</f>
        <v>0</v>
      </c>
      <c r="N121" s="63"/>
      <c r="O121" s="63"/>
    </row>
    <row r="122" spans="1:16">
      <c r="A122" s="36"/>
      <c r="B122" s="810" t="s">
        <v>195</v>
      </c>
      <c r="C122" s="161" t="s">
        <v>128</v>
      </c>
      <c r="D122" s="102">
        <f>D121-D120</f>
        <v>0</v>
      </c>
      <c r="E122" s="103">
        <f t="shared" ref="E122:M122" si="41">E121-E120</f>
        <v>0</v>
      </c>
      <c r="F122" s="103">
        <f t="shared" si="41"/>
        <v>0</v>
      </c>
      <c r="G122" s="103">
        <f t="shared" si="41"/>
        <v>0</v>
      </c>
      <c r="H122" s="103">
        <f t="shared" si="41"/>
        <v>0</v>
      </c>
      <c r="I122" s="103">
        <f t="shared" si="41"/>
        <v>0</v>
      </c>
      <c r="J122" s="103">
        <f t="shared" si="41"/>
        <v>0</v>
      </c>
      <c r="K122" s="103">
        <f t="shared" si="41"/>
        <v>0</v>
      </c>
      <c r="L122" s="102">
        <f t="shared" si="41"/>
        <v>0</v>
      </c>
      <c r="M122" s="104">
        <f t="shared" si="41"/>
        <v>0</v>
      </c>
      <c r="N122" s="63"/>
      <c r="O122" s="995"/>
      <c r="P122" s="995"/>
    </row>
    <row r="123" spans="1:16">
      <c r="A123" s="36"/>
      <c r="B123" s="810"/>
      <c r="C123" s="161"/>
      <c r="D123" s="59"/>
      <c r="E123" s="59"/>
      <c r="F123" s="59"/>
      <c r="G123" s="59"/>
      <c r="H123" s="59"/>
      <c r="I123" s="59"/>
      <c r="J123" s="59"/>
      <c r="K123" s="59"/>
      <c r="L123" s="59"/>
      <c r="M123" s="59"/>
      <c r="O123" s="64"/>
      <c r="P123" s="64"/>
    </row>
    <row r="124" spans="1:16">
      <c r="A124" s="36"/>
      <c r="B124" s="804" t="s">
        <v>178</v>
      </c>
      <c r="C124" s="142" t="s">
        <v>7</v>
      </c>
      <c r="D124" s="109">
        <f>1-INDEX(Data!$D$73:$D$100,MATCH('RFPR cover'!$C$5,Data!$B$73:$B$100,0),0)</f>
        <v>0.5</v>
      </c>
      <c r="E124" s="110">
        <f>1-INDEX(Data!$D$73:$D$100,MATCH('RFPR cover'!$C$5,Data!$B$73:$B$100,0),0)</f>
        <v>0.5</v>
      </c>
      <c r="F124" s="110">
        <f>1-INDEX(Data!$D$73:$D$100,MATCH('RFPR cover'!$C$5,Data!$B$73:$B$100,0),0)</f>
        <v>0.5</v>
      </c>
      <c r="G124" s="110">
        <f>1-INDEX(Data!$D$73:$D$100,MATCH('RFPR cover'!$C$5,Data!$B$73:$B$100,0),0)</f>
        <v>0.5</v>
      </c>
      <c r="H124" s="110">
        <f>1-INDEX(Data!$D$73:$D$100,MATCH('RFPR cover'!$C$5,Data!$B$73:$B$100,0),0)</f>
        <v>0.5</v>
      </c>
      <c r="I124" s="110">
        <f>1-INDEX(Data!$D$73:$D$100,MATCH('RFPR cover'!$C$5,Data!$B$73:$B$100,0),0)</f>
        <v>0.5</v>
      </c>
      <c r="J124" s="110">
        <f>1-INDEX(Data!$D$73:$D$100,MATCH('RFPR cover'!$C$5,Data!$B$73:$B$100,0),0)</f>
        <v>0.5</v>
      </c>
      <c r="K124" s="111">
        <f>1-INDEX(Data!$D$73:$D$100,MATCH('RFPR cover'!$C$5,Data!$B$73:$B$100,0),0)</f>
        <v>0.5</v>
      </c>
      <c r="L124" s="62"/>
      <c r="M124" s="62"/>
      <c r="O124"/>
      <c r="P124"/>
    </row>
    <row r="125" spans="1:16">
      <c r="A125" s="36"/>
      <c r="B125" s="804"/>
      <c r="O125"/>
      <c r="P125"/>
    </row>
    <row r="126" spans="1:16">
      <c r="A126" s="36"/>
      <c r="B126" s="811" t="s">
        <v>183</v>
      </c>
      <c r="C126" s="165" t="s">
        <v>128</v>
      </c>
      <c r="D126" s="95">
        <f>D122*D124</f>
        <v>0</v>
      </c>
      <c r="E126" s="96">
        <f t="shared" ref="E126:K126" si="42">E122*E124</f>
        <v>0</v>
      </c>
      <c r="F126" s="96">
        <f t="shared" si="42"/>
        <v>0</v>
      </c>
      <c r="G126" s="96">
        <f t="shared" si="42"/>
        <v>0</v>
      </c>
      <c r="H126" s="96">
        <f t="shared" si="42"/>
        <v>0</v>
      </c>
      <c r="I126" s="96">
        <f t="shared" si="42"/>
        <v>0</v>
      </c>
      <c r="J126" s="96">
        <f t="shared" si="42"/>
        <v>0</v>
      </c>
      <c r="K126" s="96">
        <f t="shared" si="42"/>
        <v>0</v>
      </c>
      <c r="L126" s="95">
        <f>SUM(D126:INDEX(D126:K126,0,MATCH('RFPR cover'!$C$7,$D$6:$K$6,0)))</f>
        <v>0</v>
      </c>
      <c r="M126" s="97">
        <f>SUM(D126:K126)</f>
        <v>0</v>
      </c>
      <c r="O126"/>
      <c r="P126"/>
    </row>
    <row r="127" spans="1:16">
      <c r="A127" s="36"/>
      <c r="B127" s="811" t="s">
        <v>179</v>
      </c>
      <c r="C127" s="165" t="s">
        <v>128</v>
      </c>
      <c r="D127" s="92">
        <f>D122*(1-D124)</f>
        <v>0</v>
      </c>
      <c r="E127" s="93">
        <f t="shared" ref="E127:K127" si="43">E122*(1-E124)</f>
        <v>0</v>
      </c>
      <c r="F127" s="93">
        <f t="shared" si="43"/>
        <v>0</v>
      </c>
      <c r="G127" s="93">
        <f t="shared" si="43"/>
        <v>0</v>
      </c>
      <c r="H127" s="93">
        <f t="shared" si="43"/>
        <v>0</v>
      </c>
      <c r="I127" s="93">
        <f t="shared" si="43"/>
        <v>0</v>
      </c>
      <c r="J127" s="93">
        <f t="shared" si="43"/>
        <v>0</v>
      </c>
      <c r="K127" s="93">
        <f t="shared" si="43"/>
        <v>0</v>
      </c>
      <c r="L127" s="92">
        <f>SUM(D127:INDEX(D127:K127,0,MATCH('RFPR cover'!$C$7,$D$6:$K$6,0)))</f>
        <v>0</v>
      </c>
      <c r="M127" s="94">
        <f>SUM(D127:K127)</f>
        <v>0</v>
      </c>
      <c r="O127"/>
      <c r="P127"/>
    </row>
    <row r="128" spans="1:16">
      <c r="A128" s="36"/>
      <c r="B128" s="804"/>
      <c r="O128"/>
      <c r="P128"/>
    </row>
    <row r="129" spans="1:16">
      <c r="A129" s="36"/>
      <c r="B129" s="812" t="s">
        <v>182</v>
      </c>
      <c r="N129" s="63"/>
      <c r="O129"/>
      <c r="P129"/>
    </row>
    <row r="130" spans="1:16">
      <c r="A130" s="279" t="s">
        <v>151</v>
      </c>
      <c r="B130" s="231" t="str">
        <f t="shared" ref="B130:B135" si="44">B52</f>
        <v>[Enduring Value adjustment]</v>
      </c>
      <c r="C130" s="161" t="s">
        <v>128</v>
      </c>
      <c r="D130" s="609">
        <f t="shared" ref="D130:K135" si="45">D52*D$88</f>
        <v>0</v>
      </c>
      <c r="E130" s="609">
        <f t="shared" si="45"/>
        <v>0</v>
      </c>
      <c r="F130" s="609">
        <f t="shared" si="45"/>
        <v>0</v>
      </c>
      <c r="G130" s="609">
        <f t="shared" si="45"/>
        <v>0</v>
      </c>
      <c r="H130" s="609">
        <f t="shared" si="45"/>
        <v>0</v>
      </c>
      <c r="I130" s="609">
        <f t="shared" si="45"/>
        <v>0</v>
      </c>
      <c r="J130" s="609">
        <f t="shared" si="45"/>
        <v>0</v>
      </c>
      <c r="K130" s="609">
        <f t="shared" si="45"/>
        <v>0</v>
      </c>
      <c r="L130" s="609">
        <f>SUM(D130:INDEX(D130:K130,0,MATCH('RFPR cover'!$C$7,$D$6:$K$6,0)))</f>
        <v>0</v>
      </c>
      <c r="M130" s="610">
        <f t="shared" ref="M130:M136" si="46">SUM(D130:K130)</f>
        <v>0</v>
      </c>
      <c r="N130" s="63"/>
      <c r="O130"/>
      <c r="P130"/>
    </row>
    <row r="131" spans="1:16">
      <c r="A131" s="279" t="s">
        <v>152</v>
      </c>
      <c r="B131" s="231" t="str">
        <f t="shared" si="44"/>
        <v>[Enduring Value adjustment]</v>
      </c>
      <c r="C131" s="161" t="s">
        <v>128</v>
      </c>
      <c r="D131" s="609">
        <f t="shared" si="45"/>
        <v>0</v>
      </c>
      <c r="E131" s="609">
        <f t="shared" si="45"/>
        <v>0</v>
      </c>
      <c r="F131" s="609">
        <f t="shared" si="45"/>
        <v>0</v>
      </c>
      <c r="G131" s="609">
        <f t="shared" si="45"/>
        <v>0</v>
      </c>
      <c r="H131" s="609">
        <f t="shared" si="45"/>
        <v>0</v>
      </c>
      <c r="I131" s="609">
        <f t="shared" si="45"/>
        <v>0</v>
      </c>
      <c r="J131" s="609">
        <f t="shared" si="45"/>
        <v>0</v>
      </c>
      <c r="K131" s="609">
        <f t="shared" si="45"/>
        <v>0</v>
      </c>
      <c r="L131" s="613">
        <f>SUM(D131:INDEX(D131:K131,0,MATCH('RFPR cover'!$C$7,$D$6:$K$6,0)))</f>
        <v>0</v>
      </c>
      <c r="M131" s="614">
        <f t="shared" si="46"/>
        <v>0</v>
      </c>
      <c r="N131" s="63"/>
      <c r="O131"/>
      <c r="P131"/>
    </row>
    <row r="132" spans="1:16">
      <c r="A132" s="279" t="s">
        <v>153</v>
      </c>
      <c r="B132" s="231" t="str">
        <f t="shared" si="44"/>
        <v>[Enduring Value adjustment]</v>
      </c>
      <c r="C132" s="161" t="s">
        <v>128</v>
      </c>
      <c r="D132" s="609">
        <f t="shared" si="45"/>
        <v>0</v>
      </c>
      <c r="E132" s="609">
        <f t="shared" si="45"/>
        <v>0</v>
      </c>
      <c r="F132" s="609">
        <f t="shared" si="45"/>
        <v>0</v>
      </c>
      <c r="G132" s="609">
        <f t="shared" si="45"/>
        <v>0</v>
      </c>
      <c r="H132" s="609">
        <f t="shared" si="45"/>
        <v>0</v>
      </c>
      <c r="I132" s="609">
        <f t="shared" si="45"/>
        <v>0</v>
      </c>
      <c r="J132" s="609">
        <f t="shared" si="45"/>
        <v>0</v>
      </c>
      <c r="K132" s="609">
        <f t="shared" si="45"/>
        <v>0</v>
      </c>
      <c r="L132" s="613">
        <f>SUM(D132:INDEX(D132:K132,0,MATCH('RFPR cover'!$C$7,$D$6:$K$6,0)))</f>
        <v>0</v>
      </c>
      <c r="M132" s="614">
        <f t="shared" si="46"/>
        <v>0</v>
      </c>
      <c r="N132" s="63"/>
      <c r="O132"/>
      <c r="P132"/>
    </row>
    <row r="133" spans="1:16">
      <c r="A133" s="279" t="s">
        <v>168</v>
      </c>
      <c r="B133" s="231" t="str">
        <f t="shared" si="44"/>
        <v>[Enduring Value adjustment]</v>
      </c>
      <c r="C133" s="161" t="s">
        <v>128</v>
      </c>
      <c r="D133" s="609">
        <f t="shared" si="45"/>
        <v>0</v>
      </c>
      <c r="E133" s="609">
        <f t="shared" si="45"/>
        <v>0</v>
      </c>
      <c r="F133" s="609">
        <f t="shared" si="45"/>
        <v>0</v>
      </c>
      <c r="G133" s="609">
        <f t="shared" si="45"/>
        <v>0</v>
      </c>
      <c r="H133" s="609">
        <f t="shared" si="45"/>
        <v>0</v>
      </c>
      <c r="I133" s="609">
        <f t="shared" si="45"/>
        <v>0</v>
      </c>
      <c r="J133" s="609">
        <f t="shared" si="45"/>
        <v>0</v>
      </c>
      <c r="K133" s="609">
        <f t="shared" si="45"/>
        <v>0</v>
      </c>
      <c r="L133" s="613">
        <f>SUM(D133:INDEX(D133:K133,0,MATCH('RFPR cover'!$C$7,$D$6:$K$6,0)))</f>
        <v>0</v>
      </c>
      <c r="M133" s="614">
        <f t="shared" si="46"/>
        <v>0</v>
      </c>
      <c r="N133" s="63"/>
      <c r="O133"/>
      <c r="P133"/>
    </row>
    <row r="134" spans="1:16">
      <c r="A134" s="279" t="s">
        <v>169</v>
      </c>
      <c r="B134" s="231" t="str">
        <f t="shared" si="44"/>
        <v>[Enduring Value adjustment]</v>
      </c>
      <c r="C134" s="161" t="s">
        <v>128</v>
      </c>
      <c r="D134" s="609">
        <f t="shared" si="45"/>
        <v>0</v>
      </c>
      <c r="E134" s="609">
        <f t="shared" si="45"/>
        <v>0</v>
      </c>
      <c r="F134" s="609">
        <f t="shared" si="45"/>
        <v>0</v>
      </c>
      <c r="G134" s="609">
        <f t="shared" si="45"/>
        <v>0</v>
      </c>
      <c r="H134" s="609">
        <f t="shared" si="45"/>
        <v>0</v>
      </c>
      <c r="I134" s="609">
        <f t="shared" si="45"/>
        <v>0</v>
      </c>
      <c r="J134" s="609">
        <f t="shared" si="45"/>
        <v>0</v>
      </c>
      <c r="K134" s="609">
        <f t="shared" si="45"/>
        <v>0</v>
      </c>
      <c r="L134" s="613">
        <f>SUM(D134:INDEX(D134:K134,0,MATCH('RFPR cover'!$C$7,$D$6:$K$6,0)))</f>
        <v>0</v>
      </c>
      <c r="M134" s="614">
        <f t="shared" si="46"/>
        <v>0</v>
      </c>
      <c r="N134" s="63"/>
      <c r="O134"/>
      <c r="P134"/>
    </row>
    <row r="135" spans="1:16">
      <c r="A135" s="279" t="s">
        <v>170</v>
      </c>
      <c r="B135" s="231" t="str">
        <f t="shared" si="44"/>
        <v>[Enduring Value adjustment]</v>
      </c>
      <c r="C135" s="161" t="s">
        <v>128</v>
      </c>
      <c r="D135" s="609">
        <f t="shared" si="45"/>
        <v>0</v>
      </c>
      <c r="E135" s="609">
        <f t="shared" si="45"/>
        <v>0</v>
      </c>
      <c r="F135" s="609">
        <f t="shared" si="45"/>
        <v>0</v>
      </c>
      <c r="G135" s="609">
        <f t="shared" si="45"/>
        <v>0</v>
      </c>
      <c r="H135" s="609">
        <f t="shared" si="45"/>
        <v>0</v>
      </c>
      <c r="I135" s="609">
        <f t="shared" si="45"/>
        <v>0</v>
      </c>
      <c r="J135" s="609">
        <f t="shared" si="45"/>
        <v>0</v>
      </c>
      <c r="K135" s="609">
        <f t="shared" si="45"/>
        <v>0</v>
      </c>
      <c r="L135" s="617">
        <f>SUM(D135:INDEX(D135:K135,0,MATCH('RFPR cover'!$C$7,$D$6:$K$6,0)))</f>
        <v>0</v>
      </c>
      <c r="M135" s="618">
        <f t="shared" si="46"/>
        <v>0</v>
      </c>
      <c r="N135" s="63"/>
      <c r="O135"/>
      <c r="P135"/>
    </row>
    <row r="136" spans="1:16">
      <c r="A136" s="36"/>
      <c r="B136" s="812" t="s">
        <v>190</v>
      </c>
      <c r="C136" s="161" t="s">
        <v>128</v>
      </c>
      <c r="D136" s="102">
        <f>SUM(D130:D135)</f>
        <v>0</v>
      </c>
      <c r="E136" s="103">
        <f t="shared" ref="E136:K136" si="47">SUM(E130:E135)</f>
        <v>0</v>
      </c>
      <c r="F136" s="103">
        <f t="shared" si="47"/>
        <v>0</v>
      </c>
      <c r="G136" s="103">
        <f t="shared" si="47"/>
        <v>0</v>
      </c>
      <c r="H136" s="103">
        <f t="shared" si="47"/>
        <v>0</v>
      </c>
      <c r="I136" s="103">
        <f t="shared" si="47"/>
        <v>0</v>
      </c>
      <c r="J136" s="103">
        <f t="shared" si="47"/>
        <v>0</v>
      </c>
      <c r="K136" s="103">
        <f t="shared" si="47"/>
        <v>0</v>
      </c>
      <c r="L136" s="102">
        <f>SUM(D136:INDEX(D136:K136,0,MATCH('RFPR cover'!$C$7,$D$6:$K$6,0)))</f>
        <v>0</v>
      </c>
      <c r="M136" s="104">
        <f t="shared" si="46"/>
        <v>0</v>
      </c>
      <c r="N136" s="63"/>
    </row>
    <row r="137" spans="1:16">
      <c r="A137" s="36"/>
      <c r="B137" s="804"/>
    </row>
    <row r="138" spans="1:16">
      <c r="A138" s="36"/>
      <c r="B138" s="811" t="s">
        <v>198</v>
      </c>
      <c r="C138" s="165" t="s">
        <v>128</v>
      </c>
      <c r="D138" s="95">
        <f t="shared" ref="D138:K138" si="48">D136*D124</f>
        <v>0</v>
      </c>
      <c r="E138" s="96">
        <f t="shared" si="48"/>
        <v>0</v>
      </c>
      <c r="F138" s="96">
        <f t="shared" si="48"/>
        <v>0</v>
      </c>
      <c r="G138" s="96">
        <f t="shared" si="48"/>
        <v>0</v>
      </c>
      <c r="H138" s="96">
        <f t="shared" si="48"/>
        <v>0</v>
      </c>
      <c r="I138" s="96">
        <f t="shared" si="48"/>
        <v>0</v>
      </c>
      <c r="J138" s="96">
        <f t="shared" si="48"/>
        <v>0</v>
      </c>
      <c r="K138" s="96">
        <f t="shared" si="48"/>
        <v>0</v>
      </c>
      <c r="L138" s="95">
        <f>SUM(D138:INDEX(D138:K138,0,MATCH('RFPR cover'!$C$7,$D$6:$K$6,0)))</f>
        <v>0</v>
      </c>
      <c r="M138" s="97">
        <f>SUM(D138:K138)</f>
        <v>0</v>
      </c>
    </row>
    <row r="139" spans="1:16">
      <c r="A139" s="36"/>
      <c r="B139" s="811" t="s">
        <v>310</v>
      </c>
      <c r="C139" s="165" t="s">
        <v>128</v>
      </c>
      <c r="D139" s="92">
        <f t="shared" ref="D139:K139" si="49">D136*(1-D124)</f>
        <v>0</v>
      </c>
      <c r="E139" s="93">
        <f t="shared" si="49"/>
        <v>0</v>
      </c>
      <c r="F139" s="93">
        <f t="shared" si="49"/>
        <v>0</v>
      </c>
      <c r="G139" s="93">
        <f t="shared" si="49"/>
        <v>0</v>
      </c>
      <c r="H139" s="93">
        <f t="shared" si="49"/>
        <v>0</v>
      </c>
      <c r="I139" s="93">
        <f t="shared" si="49"/>
        <v>0</v>
      </c>
      <c r="J139" s="93">
        <f t="shared" si="49"/>
        <v>0</v>
      </c>
      <c r="K139" s="93">
        <f t="shared" si="49"/>
        <v>0</v>
      </c>
      <c r="L139" s="92">
        <f>SUM(D139:INDEX(D139:K139,0,MATCH('RFPR cover'!$C$7,$D$6:$K$6,0)))</f>
        <v>0</v>
      </c>
      <c r="M139" s="94">
        <f>SUM(D139:K139)</f>
        <v>0</v>
      </c>
    </row>
    <row r="140" spans="1:16">
      <c r="A140" s="36"/>
      <c r="B140" s="804"/>
    </row>
    <row r="141" spans="1:16">
      <c r="A141" s="36"/>
      <c r="B141" s="812" t="s">
        <v>181</v>
      </c>
    </row>
    <row r="142" spans="1:16">
      <c r="A142" s="36"/>
      <c r="B142" s="804" t="s">
        <v>180</v>
      </c>
      <c r="C142" s="161" t="s">
        <v>128</v>
      </c>
      <c r="D142" s="95">
        <f>D126+D138</f>
        <v>0</v>
      </c>
      <c r="E142" s="96">
        <f t="shared" ref="E142:K142" si="50">E126+E138</f>
        <v>0</v>
      </c>
      <c r="F142" s="96">
        <f t="shared" si="50"/>
        <v>0</v>
      </c>
      <c r="G142" s="96">
        <f t="shared" si="50"/>
        <v>0</v>
      </c>
      <c r="H142" s="96">
        <f t="shared" si="50"/>
        <v>0</v>
      </c>
      <c r="I142" s="96">
        <f t="shared" si="50"/>
        <v>0</v>
      </c>
      <c r="J142" s="96">
        <f t="shared" si="50"/>
        <v>0</v>
      </c>
      <c r="K142" s="96">
        <f t="shared" si="50"/>
        <v>0</v>
      </c>
      <c r="L142" s="95">
        <f>SUM(D142:INDEX(D142:K142,0,MATCH('RFPR cover'!$C$7,$D$6:$K$6,0)))</f>
        <v>0</v>
      </c>
      <c r="M142" s="97">
        <f>SUM(D142:K142)</f>
        <v>0</v>
      </c>
    </row>
    <row r="143" spans="1:16">
      <c r="A143" s="36"/>
      <c r="B143" s="804" t="s">
        <v>280</v>
      </c>
      <c r="C143" s="161" t="s">
        <v>128</v>
      </c>
      <c r="D143" s="98">
        <f>D127+D139</f>
        <v>0</v>
      </c>
      <c r="E143" s="99">
        <f t="shared" ref="E143:K143" si="51">E127+E139</f>
        <v>0</v>
      </c>
      <c r="F143" s="99">
        <f t="shared" si="51"/>
        <v>0</v>
      </c>
      <c r="G143" s="99">
        <f t="shared" si="51"/>
        <v>0</v>
      </c>
      <c r="H143" s="99">
        <f t="shared" si="51"/>
        <v>0</v>
      </c>
      <c r="I143" s="99">
        <f t="shared" si="51"/>
        <v>0</v>
      </c>
      <c r="J143" s="99">
        <f t="shared" si="51"/>
        <v>0</v>
      </c>
      <c r="K143" s="99">
        <f t="shared" si="51"/>
        <v>0</v>
      </c>
      <c r="L143" s="98">
        <f>SUM(D143:INDEX(D143:K143,0,MATCH('RFPR cover'!$C$7,$D$6:$K$6,0)))</f>
        <v>0</v>
      </c>
      <c r="M143" s="100">
        <f>SUM(D143:K143)</f>
        <v>0</v>
      </c>
    </row>
    <row r="144" spans="1:16">
      <c r="A144" s="36"/>
      <c r="B144" s="812" t="s">
        <v>11</v>
      </c>
      <c r="C144" s="162" t="s">
        <v>128</v>
      </c>
      <c r="D144" s="145">
        <f>SUM(D142:D143)</f>
        <v>0</v>
      </c>
      <c r="E144" s="146">
        <f t="shared" ref="E144:K144" si="52">SUM(E142:E143)</f>
        <v>0</v>
      </c>
      <c r="F144" s="146">
        <f t="shared" si="52"/>
        <v>0</v>
      </c>
      <c r="G144" s="146">
        <f t="shared" si="52"/>
        <v>0</v>
      </c>
      <c r="H144" s="146">
        <f t="shared" si="52"/>
        <v>0</v>
      </c>
      <c r="I144" s="146">
        <f t="shared" si="52"/>
        <v>0</v>
      </c>
      <c r="J144" s="146">
        <f t="shared" si="52"/>
        <v>0</v>
      </c>
      <c r="K144" s="146">
        <f t="shared" si="52"/>
        <v>0</v>
      </c>
      <c r="L144" s="145">
        <f>SUM(D144:INDEX(D144:K144,0,MATCH('RFPR cover'!$C$7,$D$6:$K$6,0)))</f>
        <v>0</v>
      </c>
      <c r="M144" s="147">
        <f>SUM(D144:K144)</f>
        <v>0</v>
      </c>
    </row>
    <row r="145" spans="1:16">
      <c r="A145" s="36"/>
      <c r="B145" s="812"/>
      <c r="C145" s="162"/>
      <c r="D145" s="162"/>
      <c r="E145" s="162"/>
      <c r="F145" s="162"/>
      <c r="G145" s="162"/>
      <c r="H145" s="162"/>
      <c r="I145" s="162"/>
      <c r="J145" s="162"/>
      <c r="K145" s="162"/>
      <c r="L145" s="162"/>
      <c r="M145" s="162"/>
    </row>
    <row r="146" spans="1:16">
      <c r="A146" s="36"/>
      <c r="B146" s="807" t="s">
        <v>257</v>
      </c>
      <c r="C146" s="156"/>
      <c r="D146" s="81"/>
      <c r="E146" s="81"/>
      <c r="F146" s="81"/>
      <c r="G146" s="81"/>
      <c r="H146" s="81"/>
      <c r="I146" s="81"/>
      <c r="J146" s="81"/>
      <c r="K146" s="81"/>
      <c r="L146" s="81"/>
      <c r="M146" s="81"/>
      <c r="N146" s="81"/>
    </row>
    <row r="147" spans="1:16">
      <c r="A147" s="36"/>
      <c r="B147" s="804"/>
      <c r="O147"/>
      <c r="P147"/>
    </row>
    <row r="148" spans="1:16">
      <c r="A148" s="36"/>
      <c r="B148" s="812" t="s">
        <v>181</v>
      </c>
    </row>
    <row r="149" spans="1:16">
      <c r="A149" s="36"/>
      <c r="B149" s="804" t="s">
        <v>180</v>
      </c>
      <c r="C149" s="161" t="s">
        <v>128</v>
      </c>
      <c r="D149" s="95">
        <f>D114+D142</f>
        <v>19.406823774533223</v>
      </c>
      <c r="E149" s="96">
        <f t="shared" ref="E149:K149" si="53">E114+E142</f>
        <v>27.805276568942034</v>
      </c>
      <c r="F149" s="96">
        <f t="shared" si="53"/>
        <v>10.801470241331284</v>
      </c>
      <c r="G149" s="96">
        <f t="shared" si="53"/>
        <v>-11.198698184152789</v>
      </c>
      <c r="H149" s="96">
        <f t="shared" si="53"/>
        <v>-9.7657337943985603</v>
      </c>
      <c r="I149" s="96">
        <f t="shared" si="53"/>
        <v>14.194866461860368</v>
      </c>
      <c r="J149" s="96">
        <f t="shared" si="53"/>
        <v>-0.73579102374674576</v>
      </c>
      <c r="K149" s="96">
        <f t="shared" si="53"/>
        <v>-20.025693855395275</v>
      </c>
      <c r="L149" s="95">
        <f>SUM(D149:INDEX(D149:K149,0,MATCH('RFPR cover'!$C$7,$D$6:$K$6,0)))</f>
        <v>51.24400506811557</v>
      </c>
      <c r="M149" s="97">
        <f>SUM(D149:K149)</f>
        <v>30.482520188973552</v>
      </c>
    </row>
    <row r="150" spans="1:16">
      <c r="A150" s="36"/>
      <c r="B150" s="804" t="s">
        <v>280</v>
      </c>
      <c r="C150" s="161" t="s">
        <v>128</v>
      </c>
      <c r="D150" s="98">
        <f t="shared" ref="D150:K150" si="54">D115+D143</f>
        <v>19.406823774533223</v>
      </c>
      <c r="E150" s="99">
        <f t="shared" si="54"/>
        <v>27.805276568942034</v>
      </c>
      <c r="F150" s="99">
        <f t="shared" si="54"/>
        <v>10.801470241331284</v>
      </c>
      <c r="G150" s="99">
        <f t="shared" si="54"/>
        <v>-11.198698184152789</v>
      </c>
      <c r="H150" s="99">
        <f t="shared" si="54"/>
        <v>-9.7657337943985603</v>
      </c>
      <c r="I150" s="99">
        <f t="shared" si="54"/>
        <v>14.194866461860368</v>
      </c>
      <c r="J150" s="99">
        <f t="shared" si="54"/>
        <v>-0.73579102374674576</v>
      </c>
      <c r="K150" s="99">
        <f t="shared" si="54"/>
        <v>-20.025693855395275</v>
      </c>
      <c r="L150" s="98">
        <f>SUM(D150:INDEX(D150:K150,0,MATCH('RFPR cover'!$C$7,$D$6:$K$6,0)))</f>
        <v>51.24400506811557</v>
      </c>
      <c r="M150" s="100">
        <f>SUM(D150:K150)</f>
        <v>30.482520188973552</v>
      </c>
    </row>
    <row r="151" spans="1:16">
      <c r="A151" s="36"/>
      <c r="B151" s="812" t="s">
        <v>11</v>
      </c>
      <c r="C151" s="162" t="s">
        <v>128</v>
      </c>
      <c r="D151" s="145">
        <f>SUM(D149:D150)</f>
        <v>38.813647549066445</v>
      </c>
      <c r="E151" s="146">
        <f t="shared" ref="E151:K151" si="55">SUM(E149:E150)</f>
        <v>55.610553137884068</v>
      </c>
      <c r="F151" s="146">
        <f t="shared" si="55"/>
        <v>21.602940482662568</v>
      </c>
      <c r="G151" s="146">
        <f t="shared" si="55"/>
        <v>-22.397396368305579</v>
      </c>
      <c r="H151" s="146">
        <f t="shared" si="55"/>
        <v>-19.531467588797121</v>
      </c>
      <c r="I151" s="146">
        <f t="shared" si="55"/>
        <v>28.389732923720736</v>
      </c>
      <c r="J151" s="146">
        <f t="shared" si="55"/>
        <v>-1.4715820474934915</v>
      </c>
      <c r="K151" s="146">
        <f t="shared" si="55"/>
        <v>-40.05138771079055</v>
      </c>
      <c r="L151" s="145">
        <f>SUM(D151:INDEX(D151:K151,0,MATCH('RFPR cover'!$C$7,$D$6:$K$6,0)))</f>
        <v>102.48801013623114</v>
      </c>
      <c r="M151" s="147">
        <f>SUM(D151:K151)</f>
        <v>60.965040377947105</v>
      </c>
    </row>
    <row r="152" spans="1:16">
      <c r="A152" s="36"/>
      <c r="B152" s="811"/>
      <c r="D152" s="142"/>
      <c r="E152" s="142"/>
      <c r="F152" s="142"/>
      <c r="G152" s="142"/>
      <c r="H152" s="142"/>
      <c r="I152" s="142"/>
      <c r="J152" s="142"/>
      <c r="K152" s="142"/>
    </row>
    <row r="153" spans="1:16">
      <c r="A153" s="36"/>
      <c r="B153" s="804"/>
    </row>
    <row r="154" spans="1:16">
      <c r="A154" s="81"/>
      <c r="B154" s="803"/>
      <c r="C154" s="156"/>
      <c r="D154" s="81"/>
      <c r="E154" s="81"/>
      <c r="F154" s="81"/>
      <c r="G154" s="81"/>
      <c r="H154" s="81"/>
      <c r="I154" s="81"/>
      <c r="J154" s="81"/>
      <c r="K154" s="81"/>
      <c r="L154" s="81"/>
      <c r="M154" s="81"/>
      <c r="N154" s="81"/>
    </row>
    <row r="155" spans="1:16">
      <c r="B155" s="804"/>
    </row>
    <row r="156" spans="1:16">
      <c r="B156" s="804"/>
    </row>
  </sheetData>
  <mergeCells count="4">
    <mergeCell ref="O14:P14"/>
    <mergeCell ref="O44:P44"/>
    <mergeCell ref="O94:P94"/>
    <mergeCell ref="O122:P122"/>
  </mergeCells>
  <conditionalFormatting sqref="D6:K6">
    <cfRule type="expression" dxfId="39" priority="17">
      <formula>AND(D$5="Actuals",E$5="Forecast")</formula>
    </cfRule>
  </conditionalFormatting>
  <conditionalFormatting sqref="B120:M144">
    <cfRule type="expression" dxfId="38" priority="13">
      <formula>$B$40="n/a"</formula>
    </cfRule>
  </conditionalFormatting>
  <conditionalFormatting sqref="D5:K5">
    <cfRule type="expression" dxfId="37" priority="12">
      <formula>AND(D$5="Actuals",E$5="Forecast")</formula>
    </cfRule>
  </conditionalFormatting>
  <conditionalFormatting sqref="B40:N66">
    <cfRule type="expression" dxfId="36" priority="11">
      <formula>$B$40="n/a"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O11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1.375" bestFit="1" customWidth="1"/>
    <col min="3" max="3" width="13.375" style="142" customWidth="1"/>
    <col min="4" max="11" width="11.125" customWidth="1"/>
    <col min="12" max="12" width="12.875" customWidth="1"/>
    <col min="13" max="13" width="12.75" customWidth="1"/>
    <col min="14" max="14" width="5" customWidth="1"/>
  </cols>
  <sheetData>
    <row r="1" spans="1:14" s="38" customFormat="1" ht="20.25">
      <c r="A1" s="134" t="s">
        <v>262</v>
      </c>
      <c r="B1" s="135"/>
      <c r="C1" s="159"/>
      <c r="D1" s="135"/>
      <c r="E1" s="135"/>
      <c r="F1" s="135"/>
      <c r="G1" s="135"/>
      <c r="H1" s="135"/>
      <c r="I1" s="130"/>
      <c r="J1" s="130"/>
      <c r="K1" s="130"/>
      <c r="L1" s="130"/>
      <c r="M1" s="130"/>
      <c r="N1" s="131"/>
    </row>
    <row r="2" spans="1:14" s="38" customFormat="1" ht="20.25">
      <c r="A2" s="136" t="str">
        <f>'RFPR cover'!C5</f>
        <v>SPT</v>
      </c>
      <c r="B2" s="37"/>
      <c r="C2" s="160"/>
      <c r="D2" s="37"/>
      <c r="E2" s="37"/>
      <c r="F2" s="37"/>
      <c r="G2" s="37"/>
      <c r="H2" s="37"/>
      <c r="I2" s="27"/>
      <c r="J2" s="27"/>
      <c r="K2" s="27"/>
      <c r="L2" s="27"/>
      <c r="M2" s="27"/>
      <c r="N2" s="125"/>
    </row>
    <row r="3" spans="1:14" s="38" customFormat="1" ht="20.25">
      <c r="A3" s="137">
        <f>'RFPR cover'!C7</f>
        <v>2019</v>
      </c>
      <c r="B3" s="138"/>
      <c r="C3" s="141"/>
      <c r="D3" s="138"/>
      <c r="E3" s="138"/>
      <c r="F3" s="138"/>
      <c r="G3" s="138"/>
      <c r="H3" s="138"/>
      <c r="I3" s="29"/>
      <c r="J3" s="29"/>
      <c r="K3" s="29"/>
      <c r="L3" s="29"/>
      <c r="M3" s="29"/>
      <c r="N3" s="128"/>
    </row>
    <row r="4" spans="1:14" s="2" customFormat="1" ht="12.75" customHeight="1">
      <c r="B4" s="3"/>
      <c r="C4" s="142"/>
    </row>
    <row r="5" spans="1:14" s="2" customFormat="1" ht="12.75" customHeight="1">
      <c r="B5" s="3"/>
      <c r="C5" s="142"/>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4" s="2" customFormat="1" ht="29.25" customHeight="1">
      <c r="C6" s="142"/>
      <c r="D6" s="117">
        <f>'RFPR cover'!$C$13</f>
        <v>2014</v>
      </c>
      <c r="E6" s="118">
        <f>D6+1</f>
        <v>2015</v>
      </c>
      <c r="F6" s="118">
        <f t="shared" ref="F6:K6" si="0">E6+1</f>
        <v>2016</v>
      </c>
      <c r="G6" s="118">
        <f t="shared" si="0"/>
        <v>2017</v>
      </c>
      <c r="H6" s="118">
        <f t="shared" si="0"/>
        <v>2018</v>
      </c>
      <c r="I6" s="118">
        <f t="shared" si="0"/>
        <v>2019</v>
      </c>
      <c r="J6" s="118">
        <f t="shared" si="0"/>
        <v>2020</v>
      </c>
      <c r="K6" s="118">
        <f t="shared" si="0"/>
        <v>2021</v>
      </c>
      <c r="L6" s="101" t="str">
        <f>"Cumulative to "&amp;'RFPR cover'!$C$7</f>
        <v>Cumulative to 2019</v>
      </c>
      <c r="M6" s="119" t="s">
        <v>109</v>
      </c>
    </row>
    <row r="7" spans="1:14" s="2" customFormat="1">
      <c r="A7" s="36"/>
      <c r="C7" s="142"/>
    </row>
    <row r="8" spans="1:14" s="2" customFormat="1">
      <c r="A8" s="36"/>
      <c r="B8" s="116" t="s">
        <v>199</v>
      </c>
      <c r="C8" s="156"/>
      <c r="D8" s="80"/>
      <c r="E8" s="80"/>
      <c r="F8" s="80"/>
      <c r="G8" s="80"/>
      <c r="H8" s="80"/>
      <c r="I8" s="80"/>
      <c r="J8" s="80"/>
      <c r="K8" s="80"/>
      <c r="L8" s="80"/>
      <c r="M8" s="80"/>
      <c r="N8" s="80"/>
    </row>
    <row r="9" spans="1:14" s="2" customFormat="1">
      <c r="A9" s="36"/>
      <c r="B9" s="385" t="s">
        <v>378</v>
      </c>
      <c r="C9" s="385"/>
      <c r="D9" s="385"/>
      <c r="E9" s="385"/>
      <c r="F9" s="385"/>
      <c r="G9" s="385"/>
      <c r="H9" s="385"/>
      <c r="I9" s="385"/>
      <c r="J9" s="385"/>
      <c r="K9" s="385"/>
      <c r="L9" s="385"/>
      <c r="M9" s="385"/>
      <c r="N9" s="385"/>
    </row>
    <row r="10" spans="1:14" s="2" customFormat="1">
      <c r="A10" s="36"/>
      <c r="B10" s="12"/>
      <c r="C10" s="142"/>
    </row>
    <row r="11" spans="1:14" s="2" customFormat="1">
      <c r="A11" s="230" t="s">
        <v>151</v>
      </c>
      <c r="B11" s="36" t="str">
        <f>Data!B153</f>
        <v>Network Reliability Incentive</v>
      </c>
      <c r="C11" s="161" t="str">
        <f>'RFPR cover'!$C$14</f>
        <v>£m 09/10</v>
      </c>
      <c r="D11" s="619">
        <v>1.8999480519480521</v>
      </c>
      <c r="E11" s="620">
        <v>2.2501265822784804</v>
      </c>
      <c r="F11" s="620">
        <v>2.1112000000000002</v>
      </c>
      <c r="G11" s="620">
        <v>2.146843066666666</v>
      </c>
      <c r="H11" s="620">
        <v>2.1921975308641977</v>
      </c>
      <c r="I11" s="620">
        <v>1.8326884773430949</v>
      </c>
      <c r="J11" s="620">
        <v>1</v>
      </c>
      <c r="K11" s="620">
        <v>1</v>
      </c>
      <c r="L11" s="696">
        <f>SUM(D11:INDEX(D11:K11,0,MATCH('RFPR cover'!$C$7,$D$6:$K$6,0)))</f>
        <v>12.43300370910049</v>
      </c>
      <c r="M11" s="697">
        <f t="shared" ref="M11:M17" si="1">SUM(D11:K11)</f>
        <v>14.43300370910049</v>
      </c>
    </row>
    <row r="12" spans="1:14" s="2" customFormat="1">
      <c r="A12" s="230" t="s">
        <v>152</v>
      </c>
      <c r="B12" s="36" t="str">
        <f>Data!B154</f>
        <v>Stakeholder Satisfaction Output</v>
      </c>
      <c r="C12" s="161" t="str">
        <f>'RFPR cover'!$C$14</f>
        <v>£m 09/10</v>
      </c>
      <c r="D12" s="621">
        <v>0.34488714391899705</v>
      </c>
      <c r="E12" s="622">
        <v>0.54267013075614579</v>
      </c>
      <c r="F12" s="622">
        <v>0.75883366908795924</v>
      </c>
      <c r="G12" s="622">
        <v>1.6044716326868131</v>
      </c>
      <c r="H12" s="622">
        <v>2.1627558449544222</v>
      </c>
      <c r="I12" s="622">
        <v>1.4901241919318948</v>
      </c>
      <c r="J12" s="622">
        <v>1</v>
      </c>
      <c r="K12" s="622">
        <v>1</v>
      </c>
      <c r="L12" s="700">
        <f>SUM(D12:INDEX(D12:K12,0,MATCH('RFPR cover'!$C$7,$D$6:$K$6,0)))</f>
        <v>6.9037426133362318</v>
      </c>
      <c r="M12" s="701">
        <f t="shared" si="1"/>
        <v>8.903742613336231</v>
      </c>
    </row>
    <row r="13" spans="1:14" s="2" customFormat="1">
      <c r="A13" s="230" t="s">
        <v>153</v>
      </c>
      <c r="B13" s="36" t="str">
        <f>Data!B155</f>
        <v>SF6 Emissions</v>
      </c>
      <c r="C13" s="161" t="str">
        <f>'RFPR cover'!$C$14</f>
        <v>£m 09/10</v>
      </c>
      <c r="D13" s="621">
        <v>-0.12123119805194806</v>
      </c>
      <c r="E13" s="622">
        <v>7.4963121455696238E-2</v>
      </c>
      <c r="F13" s="622">
        <v>0.13815896899999994</v>
      </c>
      <c r="G13" s="622">
        <v>0.25288808498281251</v>
      </c>
      <c r="H13" s="622">
        <v>0.2570309566666667</v>
      </c>
      <c r="I13" s="622">
        <v>6.4927374382716105E-2</v>
      </c>
      <c r="J13" s="622">
        <v>0.05</v>
      </c>
      <c r="K13" s="622">
        <v>0.05</v>
      </c>
      <c r="L13" s="700">
        <f>SUM(D13:INDEX(D13:K13,0,MATCH('RFPR cover'!$C$7,$D$6:$K$6,0)))</f>
        <v>0.66673730843594337</v>
      </c>
      <c r="M13" s="701">
        <f t="shared" si="1"/>
        <v>0.76673730843594345</v>
      </c>
    </row>
    <row r="14" spans="1:14" s="2" customFormat="1">
      <c r="A14" s="230" t="s">
        <v>168</v>
      </c>
      <c r="B14" s="36" t="str">
        <f>Data!B156</f>
        <v>Environmental Discretionary Reward</v>
      </c>
      <c r="C14" s="161" t="str">
        <f>'RFPR cover'!$C$14</f>
        <v>£m 09/10</v>
      </c>
      <c r="D14" s="621">
        <v>0</v>
      </c>
      <c r="E14" s="622">
        <v>0</v>
      </c>
      <c r="F14" s="622">
        <v>3.326747175571342</v>
      </c>
      <c r="G14" s="622">
        <v>3.2569587006400189</v>
      </c>
      <c r="H14" s="622">
        <v>0</v>
      </c>
      <c r="I14" s="622">
        <v>0</v>
      </c>
      <c r="J14" s="622">
        <v>0.5</v>
      </c>
      <c r="K14" s="622">
        <v>0.5</v>
      </c>
      <c r="L14" s="700">
        <f>SUM(D14:INDEX(D14:K14,0,MATCH('RFPR cover'!$C$7,$D$6:$K$6,0)))</f>
        <v>6.5837058762113614</v>
      </c>
      <c r="M14" s="701">
        <f t="shared" si="1"/>
        <v>7.5837058762113614</v>
      </c>
    </row>
    <row r="15" spans="1:14" s="2" customFormat="1">
      <c r="A15" s="230" t="s">
        <v>169</v>
      </c>
      <c r="B15" s="36" t="str">
        <f>Data!B157</f>
        <v xml:space="preserve">Performance re offers of timely connection </v>
      </c>
      <c r="C15" s="161" t="str">
        <f>'RFPR cover'!$C$14</f>
        <v>£m 09/10</v>
      </c>
      <c r="D15" s="621">
        <v>-4.6936261527645608E-2</v>
      </c>
      <c r="E15" s="622">
        <v>-3.1662383133561504E-2</v>
      </c>
      <c r="F15" s="622">
        <v>0</v>
      </c>
      <c r="G15" s="622">
        <v>0</v>
      </c>
      <c r="H15" s="622">
        <v>-2.3296549317124503E-2</v>
      </c>
      <c r="I15" s="622">
        <v>0</v>
      </c>
      <c r="J15" s="622">
        <v>-0.05</v>
      </c>
      <c r="K15" s="622">
        <v>-0.05</v>
      </c>
      <c r="L15" s="700">
        <f>SUM(D15:INDEX(D15:K15,0,MATCH('RFPR cover'!$C$7,$D$6:$K$6,0)))</f>
        <v>-0.10189519397833162</v>
      </c>
      <c r="M15" s="701">
        <f t="shared" si="1"/>
        <v>-0.20189519397833161</v>
      </c>
    </row>
    <row r="16" spans="1:14" s="2" customFormat="1">
      <c r="A16" s="230" t="s">
        <v>170</v>
      </c>
      <c r="B16" s="36" t="str">
        <f>Data!B158</f>
        <v/>
      </c>
      <c r="C16" s="161" t="str">
        <f>'RFPR cover'!$C$14</f>
        <v>£m 09/10</v>
      </c>
      <c r="D16" s="621"/>
      <c r="E16" s="622"/>
      <c r="F16" s="622"/>
      <c r="G16" s="622"/>
      <c r="H16" s="622"/>
      <c r="I16" s="622"/>
      <c r="J16" s="622"/>
      <c r="K16" s="622"/>
      <c r="L16" s="700">
        <f>SUM(D16:INDEX(D16:K16,0,MATCH('RFPR cover'!$C$7,$D$6:$K$6,0)))</f>
        <v>0</v>
      </c>
      <c r="M16" s="701">
        <f t="shared" si="1"/>
        <v>0</v>
      </c>
    </row>
    <row r="17" spans="1:15" s="2" customFormat="1">
      <c r="A17" s="230" t="s">
        <v>466</v>
      </c>
      <c r="B17" s="36" t="str">
        <f>Data!B159</f>
        <v/>
      </c>
      <c r="C17" s="161" t="str">
        <f>'RFPR cover'!$C$14</f>
        <v>£m 09/10</v>
      </c>
      <c r="D17" s="880"/>
      <c r="E17" s="881"/>
      <c r="F17" s="881"/>
      <c r="G17" s="881"/>
      <c r="H17" s="881"/>
      <c r="I17" s="881"/>
      <c r="J17" s="881"/>
      <c r="K17" s="882"/>
      <c r="L17" s="700">
        <f>SUM(D17:INDEX(D17:K17,0,MATCH('RFPR cover'!$C$7,$D$6:$K$6,0)))</f>
        <v>0</v>
      </c>
      <c r="M17" s="701">
        <f t="shared" si="1"/>
        <v>0</v>
      </c>
    </row>
    <row r="18" spans="1:15" s="2" customFormat="1">
      <c r="A18" s="36"/>
      <c r="B18" s="12" t="s">
        <v>203</v>
      </c>
      <c r="C18" s="162" t="str">
        <f>'RFPR cover'!$C$14</f>
        <v>£m 09/10</v>
      </c>
      <c r="D18" s="635">
        <f>SUM(D11:D17)</f>
        <v>2.0766677362874555</v>
      </c>
      <c r="E18" s="635">
        <f t="shared" ref="E18:K18" si="2">SUM(E11:E17)</f>
        <v>2.8360974513567605</v>
      </c>
      <c r="F18" s="635">
        <f t="shared" si="2"/>
        <v>6.334939813659302</v>
      </c>
      <c r="G18" s="635">
        <f t="shared" si="2"/>
        <v>7.2611614849763102</v>
      </c>
      <c r="H18" s="635">
        <f t="shared" si="2"/>
        <v>4.5886877831681625</v>
      </c>
      <c r="I18" s="635">
        <f t="shared" si="2"/>
        <v>3.3877400436577059</v>
      </c>
      <c r="J18" s="635">
        <f t="shared" si="2"/>
        <v>2.5</v>
      </c>
      <c r="K18" s="635">
        <f t="shared" si="2"/>
        <v>2.5</v>
      </c>
      <c r="L18" s="635">
        <f>SUM(L11:L17)</f>
        <v>26.485294313105694</v>
      </c>
      <c r="M18" s="635">
        <f>SUM(M11:M17)</f>
        <v>31.485294313105694</v>
      </c>
    </row>
    <row r="19" spans="1:15" s="2" customFormat="1">
      <c r="A19" s="36"/>
      <c r="B19" s="12"/>
      <c r="C19" s="162"/>
      <c r="D19" s="162"/>
      <c r="E19" s="162"/>
      <c r="F19" s="162"/>
      <c r="G19" s="162"/>
      <c r="H19" s="162"/>
      <c r="I19" s="162"/>
      <c r="J19" s="162"/>
      <c r="K19" s="162"/>
      <c r="L19" s="162"/>
      <c r="M19" s="162"/>
    </row>
    <row r="20" spans="1:15" s="2" customFormat="1">
      <c r="A20" s="36"/>
      <c r="B20" s="12" t="s">
        <v>361</v>
      </c>
      <c r="C20" s="162"/>
      <c r="D20" s="162"/>
      <c r="E20" s="162"/>
      <c r="F20" s="162"/>
      <c r="G20" s="162"/>
      <c r="H20" s="162"/>
      <c r="I20" s="162"/>
      <c r="J20" s="162"/>
      <c r="K20" s="162"/>
      <c r="L20" s="162"/>
      <c r="M20" s="162"/>
    </row>
    <row r="21" spans="1:15" s="2" customFormat="1">
      <c r="A21" s="279" t="str">
        <f>A11</f>
        <v>a</v>
      </c>
      <c r="B21" s="996" t="s">
        <v>525</v>
      </c>
      <c r="C21" s="996"/>
      <c r="D21" s="996"/>
      <c r="E21" s="996"/>
      <c r="F21" s="996"/>
      <c r="G21" s="996"/>
      <c r="H21" s="996"/>
      <c r="I21" s="996"/>
      <c r="J21" s="996"/>
      <c r="K21" s="996"/>
      <c r="L21" s="996"/>
      <c r="M21" s="996"/>
    </row>
    <row r="22" spans="1:15" s="2" customFormat="1">
      <c r="A22" s="279" t="str">
        <f>A12</f>
        <v>b</v>
      </c>
      <c r="B22" s="996" t="s">
        <v>522</v>
      </c>
      <c r="C22" s="996"/>
      <c r="D22" s="996"/>
      <c r="E22" s="996"/>
      <c r="F22" s="996"/>
      <c r="G22" s="996"/>
      <c r="H22" s="996"/>
      <c r="I22" s="996"/>
      <c r="J22" s="996"/>
      <c r="K22" s="996"/>
      <c r="L22" s="996"/>
      <c r="M22" s="996"/>
    </row>
    <row r="23" spans="1:15" s="2" customFormat="1">
      <c r="A23" s="279" t="str">
        <f>A13</f>
        <v>c</v>
      </c>
      <c r="B23" s="996"/>
      <c r="C23" s="996"/>
      <c r="D23" s="996"/>
      <c r="E23" s="996"/>
      <c r="F23" s="996"/>
      <c r="G23" s="996"/>
      <c r="H23" s="996"/>
      <c r="I23" s="996"/>
      <c r="J23" s="996"/>
      <c r="K23" s="996"/>
      <c r="L23" s="996"/>
      <c r="M23" s="996"/>
    </row>
    <row r="24" spans="1:15" s="2" customFormat="1">
      <c r="A24" s="279" t="str">
        <f>A14</f>
        <v>d</v>
      </c>
      <c r="B24" s="996" t="s">
        <v>523</v>
      </c>
      <c r="C24" s="996"/>
      <c r="D24" s="996"/>
      <c r="E24" s="996"/>
      <c r="F24" s="996"/>
      <c r="G24" s="996"/>
      <c r="H24" s="996"/>
      <c r="I24" s="996"/>
      <c r="J24" s="996"/>
      <c r="K24" s="996"/>
      <c r="L24" s="996"/>
      <c r="M24" s="996"/>
    </row>
    <row r="25" spans="1:15" s="2" customFormat="1">
      <c r="A25" s="279" t="str">
        <f>A15</f>
        <v>e</v>
      </c>
      <c r="B25" s="996" t="s">
        <v>524</v>
      </c>
      <c r="C25" s="996"/>
      <c r="D25" s="996"/>
      <c r="E25" s="996"/>
      <c r="F25" s="996"/>
      <c r="G25" s="996"/>
      <c r="H25" s="996"/>
      <c r="I25" s="996"/>
      <c r="J25" s="996"/>
      <c r="K25" s="996"/>
      <c r="L25" s="996"/>
      <c r="M25" s="996"/>
    </row>
    <row r="26" spans="1:15" s="2" customFormat="1">
      <c r="A26" s="279" t="s">
        <v>170</v>
      </c>
      <c r="B26" s="876" t="s">
        <v>255</v>
      </c>
      <c r="C26" s="876"/>
      <c r="D26" s="876"/>
      <c r="E26" s="876"/>
      <c r="F26" s="876"/>
      <c r="G26" s="876"/>
      <c r="H26" s="876"/>
      <c r="I26" s="876"/>
      <c r="J26" s="876"/>
      <c r="K26" s="876"/>
      <c r="L26" s="876"/>
      <c r="M26" s="876"/>
    </row>
    <row r="27" spans="1:15" s="2" customFormat="1">
      <c r="A27" s="279" t="s">
        <v>466</v>
      </c>
      <c r="B27" s="876" t="s">
        <v>255</v>
      </c>
      <c r="C27" s="876"/>
      <c r="D27" s="876"/>
      <c r="E27" s="876"/>
      <c r="F27" s="876"/>
      <c r="G27" s="876"/>
      <c r="H27" s="876"/>
      <c r="I27" s="876"/>
      <c r="J27" s="876"/>
      <c r="K27" s="876"/>
      <c r="L27" s="876"/>
      <c r="M27" s="876"/>
    </row>
    <row r="28" spans="1:15" s="557" customFormat="1">
      <c r="A28" s="39"/>
      <c r="B28" s="561"/>
      <c r="C28" s="561"/>
      <c r="D28" s="561"/>
      <c r="E28" s="561"/>
      <c r="F28" s="561"/>
      <c r="G28" s="561"/>
      <c r="H28" s="561"/>
      <c r="I28" s="561"/>
      <c r="J28" s="561"/>
      <c r="K28" s="561"/>
      <c r="L28" s="561"/>
      <c r="M28" s="561"/>
    </row>
    <row r="29" spans="1:15" s="2" customFormat="1">
      <c r="B29" s="12"/>
      <c r="C29" s="142"/>
      <c r="D29" s="53"/>
      <c r="E29" s="53"/>
      <c r="F29" s="53"/>
      <c r="G29" s="53"/>
      <c r="H29" s="53"/>
      <c r="I29" s="53"/>
      <c r="J29" s="53"/>
      <c r="K29" s="53"/>
    </row>
    <row r="30" spans="1:15" s="2" customFormat="1">
      <c r="A30" s="36"/>
      <c r="B30" s="116" t="s">
        <v>200</v>
      </c>
      <c r="C30" s="156"/>
      <c r="D30" s="80"/>
      <c r="E30" s="80"/>
      <c r="F30" s="80"/>
      <c r="G30" s="80"/>
      <c r="H30" s="80"/>
      <c r="I30" s="80"/>
      <c r="J30" s="80"/>
      <c r="K30" s="80"/>
      <c r="L30" s="80"/>
      <c r="M30" s="80"/>
      <c r="N30" s="80"/>
    </row>
    <row r="31" spans="1:15" s="2" customFormat="1">
      <c r="A31" s="36"/>
      <c r="B31" s="36"/>
      <c r="C31" s="36"/>
      <c r="D31" s="36"/>
      <c r="E31" s="36"/>
      <c r="F31" s="36"/>
      <c r="G31" s="36"/>
      <c r="H31" s="36"/>
      <c r="I31" s="36"/>
      <c r="J31" s="36"/>
      <c r="K31" s="36"/>
      <c r="L31" s="36"/>
      <c r="M31" s="36"/>
      <c r="N31" s="36"/>
      <c r="O31" s="36"/>
    </row>
    <row r="32" spans="1:15" s="2" customFormat="1">
      <c r="A32" s="36"/>
      <c r="B32" s="385" t="s">
        <v>211</v>
      </c>
      <c r="C32" s="302"/>
      <c r="D32" s="304"/>
      <c r="E32" s="304"/>
      <c r="F32" s="304"/>
      <c r="G32" s="304"/>
      <c r="H32" s="304"/>
      <c r="I32" s="304"/>
      <c r="J32" s="304"/>
      <c r="K32" s="304"/>
      <c r="L32" s="304"/>
      <c r="M32" s="304"/>
      <c r="N32" s="304"/>
    </row>
    <row r="33" spans="1:14" s="2" customFormat="1">
      <c r="A33" s="36"/>
      <c r="B33" s="386" t="s">
        <v>241</v>
      </c>
      <c r="C33" s="302"/>
      <c r="D33" s="304"/>
      <c r="E33" s="304"/>
      <c r="F33" s="304"/>
      <c r="G33" s="304"/>
      <c r="H33" s="304"/>
      <c r="I33" s="304"/>
      <c r="J33" s="304"/>
      <c r="K33" s="304"/>
      <c r="L33" s="304"/>
      <c r="M33" s="304"/>
      <c r="N33" s="304"/>
    </row>
    <row r="34" spans="1:14" s="2" customFormat="1">
      <c r="A34" s="36"/>
      <c r="B34" s="386" t="s">
        <v>467</v>
      </c>
      <c r="C34" s="302"/>
      <c r="D34" s="304"/>
      <c r="E34" s="304"/>
      <c r="F34" s="304"/>
      <c r="G34" s="304"/>
      <c r="H34" s="304"/>
      <c r="I34" s="304"/>
      <c r="J34" s="304"/>
      <c r="K34" s="304"/>
      <c r="L34" s="304"/>
      <c r="M34" s="304"/>
      <c r="N34" s="304"/>
    </row>
    <row r="35" spans="1:14" s="2" customFormat="1">
      <c r="A35" s="36"/>
      <c r="B35" s="386" t="s">
        <v>209</v>
      </c>
      <c r="C35" s="302"/>
      <c r="D35" s="304"/>
      <c r="E35" s="304"/>
      <c r="F35" s="304"/>
      <c r="G35" s="304"/>
      <c r="H35" s="304"/>
      <c r="I35" s="304"/>
      <c r="J35" s="304"/>
      <c r="K35" s="304"/>
      <c r="L35" s="304"/>
      <c r="M35" s="304"/>
      <c r="N35" s="304"/>
    </row>
    <row r="36" spans="1:14" s="2" customFormat="1">
      <c r="A36" s="36"/>
      <c r="B36" s="386" t="s">
        <v>202</v>
      </c>
      <c r="C36" s="302"/>
      <c r="D36" s="304"/>
      <c r="E36" s="304"/>
      <c r="F36" s="304"/>
      <c r="G36" s="304"/>
      <c r="H36" s="304"/>
      <c r="I36" s="304"/>
      <c r="J36" s="304"/>
      <c r="K36" s="304"/>
      <c r="L36" s="304"/>
      <c r="M36" s="304"/>
      <c r="N36" s="304"/>
    </row>
    <row r="37" spans="1:14" s="2" customFormat="1">
      <c r="A37" s="36"/>
      <c r="B37" s="386" t="s">
        <v>208</v>
      </c>
      <c r="C37" s="302"/>
      <c r="D37" s="304"/>
      <c r="E37" s="304"/>
      <c r="F37" s="304"/>
      <c r="G37" s="304"/>
      <c r="H37" s="304"/>
      <c r="I37" s="304"/>
      <c r="J37" s="304"/>
      <c r="K37" s="304"/>
      <c r="L37" s="304"/>
      <c r="M37" s="304"/>
      <c r="N37" s="304"/>
    </row>
    <row r="38" spans="1:14" s="2" customFormat="1">
      <c r="B38" s="12"/>
      <c r="C38" s="142"/>
    </row>
    <row r="39" spans="1:14" s="2" customFormat="1">
      <c r="A39" s="166" t="str">
        <f t="shared" ref="A39:A45" si="3">A11</f>
        <v>a</v>
      </c>
      <c r="B39" s="36" t="str">
        <f>$B$11&amp;""</f>
        <v>Network Reliability Incentive</v>
      </c>
      <c r="C39" s="161" t="str">
        <f>'RFPR cover'!$C$14</f>
        <v>£m 09/10</v>
      </c>
      <c r="D39" s="696">
        <f>D51</f>
        <v>1.5199584415584417</v>
      </c>
      <c r="E39" s="696">
        <f t="shared" ref="E39:K39" si="4">E51</f>
        <v>1.8001012658227844</v>
      </c>
      <c r="F39" s="696">
        <f t="shared" si="4"/>
        <v>1.7100720000000003</v>
      </c>
      <c r="G39" s="696">
        <f t="shared" si="4"/>
        <v>1.7389428839999996</v>
      </c>
      <c r="H39" s="696">
        <f t="shared" si="4"/>
        <v>1.7756800000000001</v>
      </c>
      <c r="I39" s="696">
        <f t="shared" si="4"/>
        <v>1.5211314361947688</v>
      </c>
      <c r="J39" s="696">
        <f t="shared" si="4"/>
        <v>0.83</v>
      </c>
      <c r="K39" s="696">
        <f t="shared" si="4"/>
        <v>0.83</v>
      </c>
      <c r="L39" s="696">
        <f>SUM(D39:INDEX(D39:K39,0,MATCH('RFPR cover'!$C$7,$D$6:$K$6,0)))</f>
        <v>10.065886027575996</v>
      </c>
      <c r="M39" s="697">
        <f t="shared" ref="M39:M45" si="5">SUM(D39:K39)</f>
        <v>11.725886027575996</v>
      </c>
    </row>
    <row r="40" spans="1:14" s="2" customFormat="1">
      <c r="A40" s="166" t="str">
        <f t="shared" si="3"/>
        <v>b</v>
      </c>
      <c r="B40" s="36" t="str">
        <f>$B$12&amp;""</f>
        <v>Stakeholder Satisfaction Output</v>
      </c>
      <c r="C40" s="161" t="str">
        <f>'RFPR cover'!$C$14</f>
        <v>£m 09/10</v>
      </c>
      <c r="D40" s="696">
        <f>D55</f>
        <v>0.27590971513519763</v>
      </c>
      <c r="E40" s="696">
        <f t="shared" ref="E40:K40" si="6">E55</f>
        <v>0.43413610460491664</v>
      </c>
      <c r="F40" s="696">
        <f t="shared" si="6"/>
        <v>0.61465527196124703</v>
      </c>
      <c r="G40" s="696">
        <f t="shared" si="6"/>
        <v>1.2996220224763186</v>
      </c>
      <c r="H40" s="696">
        <f t="shared" si="6"/>
        <v>1.7518322344130821</v>
      </c>
      <c r="I40" s="696">
        <f t="shared" si="6"/>
        <v>1.2368030793034726</v>
      </c>
      <c r="J40" s="696">
        <f t="shared" si="6"/>
        <v>0.83</v>
      </c>
      <c r="K40" s="696">
        <f t="shared" si="6"/>
        <v>0.83</v>
      </c>
      <c r="L40" s="700">
        <f>SUM(D40:INDEX(D40:K40,0,MATCH('RFPR cover'!$C$7,$D$6:$K$6,0)))</f>
        <v>5.6129584278942346</v>
      </c>
      <c r="M40" s="701">
        <f t="shared" si="5"/>
        <v>7.2729584278942347</v>
      </c>
    </row>
    <row r="41" spans="1:14" s="2" customFormat="1">
      <c r="A41" s="166" t="str">
        <f t="shared" si="3"/>
        <v>c</v>
      </c>
      <c r="B41" s="36" t="str">
        <f>$B$13&amp;""</f>
        <v>SF6 Emissions</v>
      </c>
      <c r="C41" s="161" t="str">
        <f>'RFPR cover'!$C$14</f>
        <v>£m 09/10</v>
      </c>
      <c r="D41" s="696">
        <f>D59</f>
        <v>-9.6984958441558453E-2</v>
      </c>
      <c r="E41" s="696">
        <f t="shared" ref="E41:K41" si="7">E59</f>
        <v>5.9970497164556991E-2</v>
      </c>
      <c r="F41" s="696">
        <f t="shared" si="7"/>
        <v>0.11190876488999996</v>
      </c>
      <c r="G41" s="696">
        <f t="shared" si="7"/>
        <v>0.20483934883607816</v>
      </c>
      <c r="H41" s="696">
        <f t="shared" si="7"/>
        <v>0.20819507490000003</v>
      </c>
      <c r="I41" s="696">
        <f t="shared" si="7"/>
        <v>5.3889720737654363E-2</v>
      </c>
      <c r="J41" s="696">
        <f t="shared" si="7"/>
        <v>4.1500000000000002E-2</v>
      </c>
      <c r="K41" s="696">
        <f t="shared" si="7"/>
        <v>4.1500000000000002E-2</v>
      </c>
      <c r="L41" s="700">
        <f>SUM(D41:INDEX(D41:K41,0,MATCH('RFPR cover'!$C$7,$D$6:$K$6,0)))</f>
        <v>0.54181844808673107</v>
      </c>
      <c r="M41" s="701">
        <f t="shared" si="5"/>
        <v>0.62481844808673104</v>
      </c>
    </row>
    <row r="42" spans="1:14" s="2" customFormat="1">
      <c r="A42" s="166" t="str">
        <f t="shared" si="3"/>
        <v>d</v>
      </c>
      <c r="B42" s="36" t="str">
        <f>$B$14&amp;""</f>
        <v>Environmental Discretionary Reward</v>
      </c>
      <c r="C42" s="161" t="str">
        <f>'RFPR cover'!$C$14</f>
        <v>£m 09/10</v>
      </c>
      <c r="D42" s="696">
        <f>D63</f>
        <v>0</v>
      </c>
      <c r="E42" s="696">
        <f t="shared" ref="E42:K42" si="8">E63</f>
        <v>0</v>
      </c>
      <c r="F42" s="696">
        <f t="shared" si="8"/>
        <v>2.6946652122127874</v>
      </c>
      <c r="G42" s="696">
        <f t="shared" si="8"/>
        <v>2.6381365475184153</v>
      </c>
      <c r="H42" s="696">
        <f t="shared" si="8"/>
        <v>0</v>
      </c>
      <c r="I42" s="696">
        <f t="shared" si="8"/>
        <v>0</v>
      </c>
      <c r="J42" s="696">
        <f t="shared" si="8"/>
        <v>0.41499999999999998</v>
      </c>
      <c r="K42" s="696">
        <f t="shared" si="8"/>
        <v>0.41499999999999998</v>
      </c>
      <c r="L42" s="700">
        <f>SUM(D42:INDEX(D42:K42,0,MATCH('RFPR cover'!$C$7,$D$6:$K$6,0)))</f>
        <v>5.3328017597312023</v>
      </c>
      <c r="M42" s="701">
        <f t="shared" si="5"/>
        <v>6.1628017597312024</v>
      </c>
    </row>
    <row r="43" spans="1:14" s="2" customFormat="1">
      <c r="A43" s="166" t="str">
        <f t="shared" si="3"/>
        <v>e</v>
      </c>
      <c r="B43" s="36" t="str">
        <f>$B$15&amp;""</f>
        <v xml:space="preserve">Performance re offers of timely connection </v>
      </c>
      <c r="C43" s="161" t="str">
        <f>'RFPR cover'!$C$14</f>
        <v>£m 09/10</v>
      </c>
      <c r="D43" s="696">
        <f>D67</f>
        <v>-3.7549009222116486E-2</v>
      </c>
      <c r="E43" s="696">
        <f t="shared" ref="E43:K43" si="9">E67</f>
        <v>-2.5329906506849204E-2</v>
      </c>
      <c r="F43" s="696">
        <f t="shared" si="9"/>
        <v>0</v>
      </c>
      <c r="G43" s="696">
        <f t="shared" si="9"/>
        <v>0</v>
      </c>
      <c r="H43" s="696">
        <f t="shared" si="9"/>
        <v>-1.8870204946870851E-2</v>
      </c>
      <c r="I43" s="696">
        <f t="shared" si="9"/>
        <v>0</v>
      </c>
      <c r="J43" s="696">
        <f t="shared" si="9"/>
        <v>-4.1500000000000002E-2</v>
      </c>
      <c r="K43" s="696">
        <f t="shared" si="9"/>
        <v>-4.1500000000000002E-2</v>
      </c>
      <c r="L43" s="700">
        <f>SUM(D43:INDEX(D43:K43,0,MATCH('RFPR cover'!$C$7,$D$6:$K$6,0)))</f>
        <v>-8.1749120675836534E-2</v>
      </c>
      <c r="M43" s="701">
        <f t="shared" si="5"/>
        <v>-0.16474912067583655</v>
      </c>
    </row>
    <row r="44" spans="1:14" s="2" customFormat="1">
      <c r="A44" s="166" t="str">
        <f t="shared" si="3"/>
        <v>f</v>
      </c>
      <c r="B44" s="36" t="str">
        <f>$B$16&amp;""</f>
        <v/>
      </c>
      <c r="C44" s="161" t="str">
        <f>'RFPR cover'!$C$14</f>
        <v>£m 09/10</v>
      </c>
      <c r="D44" s="696">
        <f>D71</f>
        <v>0</v>
      </c>
      <c r="E44" s="696">
        <f t="shared" ref="E44:K44" si="10">E71</f>
        <v>0</v>
      </c>
      <c r="F44" s="696">
        <f t="shared" si="10"/>
        <v>0</v>
      </c>
      <c r="G44" s="696">
        <f t="shared" si="10"/>
        <v>0</v>
      </c>
      <c r="H44" s="696">
        <f t="shared" si="10"/>
        <v>0</v>
      </c>
      <c r="I44" s="696">
        <f t="shared" si="10"/>
        <v>0</v>
      </c>
      <c r="J44" s="696">
        <f t="shared" si="10"/>
        <v>0</v>
      </c>
      <c r="K44" s="696">
        <f t="shared" si="10"/>
        <v>0</v>
      </c>
      <c r="L44" s="700">
        <f>SUM(D44:INDEX(D44:K44,0,MATCH('RFPR cover'!$C$7,$D$6:$K$6,0)))</f>
        <v>0</v>
      </c>
      <c r="M44" s="701">
        <f t="shared" si="5"/>
        <v>0</v>
      </c>
    </row>
    <row r="45" spans="1:14" s="2" customFormat="1">
      <c r="A45" s="166" t="str">
        <f t="shared" si="3"/>
        <v>g</v>
      </c>
      <c r="B45" s="36" t="str">
        <f>$B$17&amp;""</f>
        <v/>
      </c>
      <c r="C45" s="161" t="str">
        <f>'RFPR cover'!$C$14</f>
        <v>£m 09/10</v>
      </c>
      <c r="D45" s="696">
        <f>D75</f>
        <v>0</v>
      </c>
      <c r="E45" s="696">
        <f t="shared" ref="E45:K45" si="11">E75</f>
        <v>0</v>
      </c>
      <c r="F45" s="696">
        <f t="shared" si="11"/>
        <v>0</v>
      </c>
      <c r="G45" s="696">
        <f t="shared" si="11"/>
        <v>0</v>
      </c>
      <c r="H45" s="696">
        <f t="shared" si="11"/>
        <v>0</v>
      </c>
      <c r="I45" s="696">
        <f t="shared" si="11"/>
        <v>0</v>
      </c>
      <c r="J45" s="696">
        <f t="shared" si="11"/>
        <v>0</v>
      </c>
      <c r="K45" s="696">
        <f t="shared" si="11"/>
        <v>0</v>
      </c>
      <c r="L45" s="700">
        <f>SUM(D45:INDEX(D45:K45,0,MATCH('RFPR cover'!$C$7,$D$6:$K$6,0)))</f>
        <v>0</v>
      </c>
      <c r="M45" s="701">
        <f t="shared" si="5"/>
        <v>0</v>
      </c>
    </row>
    <row r="46" spans="1:14" s="2" customFormat="1">
      <c r="B46" s="12" t="s">
        <v>204</v>
      </c>
      <c r="C46" s="162" t="str">
        <f>'RFPR cover'!$C$14</f>
        <v>£m 09/10</v>
      </c>
      <c r="D46" s="635">
        <f>SUM(D39:D45)</f>
        <v>1.6613341890299644</v>
      </c>
      <c r="E46" s="635">
        <f t="shared" ref="E46:M46" si="12">SUM(E39:E45)</f>
        <v>2.2688779610854088</v>
      </c>
      <c r="F46" s="635">
        <f t="shared" si="12"/>
        <v>5.1313012490640348</v>
      </c>
      <c r="G46" s="635">
        <f t="shared" si="12"/>
        <v>5.8815408028308109</v>
      </c>
      <c r="H46" s="636">
        <f t="shared" si="12"/>
        <v>3.7168371043662116</v>
      </c>
      <c r="I46" s="636">
        <f t="shared" si="12"/>
        <v>2.8118242362358954</v>
      </c>
      <c r="J46" s="636">
        <f t="shared" si="12"/>
        <v>2.0749999999999997</v>
      </c>
      <c r="K46" s="636">
        <f t="shared" si="12"/>
        <v>2.0749999999999997</v>
      </c>
      <c r="L46" s="635">
        <f t="shared" si="12"/>
        <v>21.471715542612323</v>
      </c>
      <c r="M46" s="635">
        <f t="shared" si="12"/>
        <v>25.621715542612328</v>
      </c>
    </row>
    <row r="47" spans="1:14" s="2" customFormat="1">
      <c r="B47" s="12"/>
      <c r="C47" s="162"/>
      <c r="D47" s="162"/>
      <c r="E47" s="162"/>
      <c r="F47" s="162"/>
      <c r="G47" s="162"/>
      <c r="H47" s="162"/>
      <c r="I47" s="162"/>
      <c r="J47" s="162"/>
      <c r="K47" s="162"/>
      <c r="L47" s="162"/>
      <c r="M47" s="162"/>
    </row>
    <row r="48" spans="1:14" s="2" customFormat="1">
      <c r="B48" s="12"/>
      <c r="C48" s="162"/>
      <c r="D48" s="167"/>
      <c r="E48" s="162"/>
      <c r="F48" s="162"/>
      <c r="G48" s="162"/>
      <c r="H48" s="162"/>
      <c r="I48" s="162"/>
      <c r="J48" s="162"/>
      <c r="K48" s="162"/>
      <c r="L48" s="162"/>
      <c r="M48" s="162"/>
    </row>
    <row r="49" spans="1:13" s="2" customFormat="1">
      <c r="A49" s="166" t="str">
        <f>$A$11</f>
        <v>a</v>
      </c>
      <c r="B49" s="178" t="str">
        <f>INDEX($B$11:$B$15,MATCH($A49,$A$11:$A$15,0),0)&amp;""</f>
        <v>Network Reliability Incentive</v>
      </c>
      <c r="C49" s="161" t="str">
        <f>'RFPR cover'!$C$14</f>
        <v>£m 09/10</v>
      </c>
      <c r="D49" s="813">
        <f>INDEX($D$11:$K$17,MATCH($A49,$A$11:$A$17,0),0)</f>
        <v>1.8999480519480521</v>
      </c>
      <c r="E49" s="813">
        <f t="shared" ref="E49:K49" si="13">INDEX($D$11:$K$17,MATCH($A49,$A$11:$A$17,0),0)</f>
        <v>2.2501265822784804</v>
      </c>
      <c r="F49" s="813">
        <f t="shared" si="13"/>
        <v>2.1112000000000002</v>
      </c>
      <c r="G49" s="813">
        <f t="shared" si="13"/>
        <v>2.146843066666666</v>
      </c>
      <c r="H49" s="813">
        <f t="shared" si="13"/>
        <v>2.1921975308641977</v>
      </c>
      <c r="I49" s="813">
        <f t="shared" si="13"/>
        <v>1.8326884773430949</v>
      </c>
      <c r="J49" s="813">
        <f t="shared" si="13"/>
        <v>1</v>
      </c>
      <c r="K49" s="813">
        <f t="shared" si="13"/>
        <v>1</v>
      </c>
      <c r="L49" s="813">
        <f>SUM(D49:INDEX(D49:K49,0,MATCH('RFPR cover'!$C$7,$D$6:$K$6,0)))</f>
        <v>12.43300370910049</v>
      </c>
      <c r="M49" s="814">
        <f>SUM(D49:K49)</f>
        <v>14.43300370910049</v>
      </c>
    </row>
    <row r="50" spans="1:13" s="2" customFormat="1">
      <c r="A50" s="166"/>
      <c r="B50" s="36" t="s">
        <v>201</v>
      </c>
      <c r="C50" s="305" t="s">
        <v>202</v>
      </c>
      <c r="D50" s="919">
        <f>IF($C50=$B$33,$B$33,INDEX(Data!$G$14:$G$30,MATCH('R5 - Output Incentives'!D$6+RIGHT('R5 - Output Incentives'!$C50,2),Data!$C$14:$C$30,0),0))</f>
        <v>0.2</v>
      </c>
      <c r="E50" s="920">
        <f>IF($C50=$B$33,$B$33,INDEX(Data!$G$14:$G$30,MATCH('R5 - Output Incentives'!E$6+RIGHT('R5 - Output Incentives'!$C50,2),Data!$C$14:$C$30,0),0))</f>
        <v>0.2</v>
      </c>
      <c r="F50" s="920">
        <f>IF($C50=$B$33,$B$33,INDEX(Data!$G$14:$G$30,MATCH('R5 - Output Incentives'!F$6+RIGHT('R5 - Output Incentives'!$C50,2),Data!$C$14:$C$30,0),0))</f>
        <v>0.19</v>
      </c>
      <c r="G50" s="920">
        <f>IF($C50=$B$33,$B$33,INDEX(Data!$G$14:$G$30,MATCH('R5 - Output Incentives'!G$6+RIGHT('R5 - Output Incentives'!$C50,2),Data!$C$14:$C$30,0),0))</f>
        <v>0.19</v>
      </c>
      <c r="H50" s="920">
        <f>IF($C50=$B$33,$B$33,INDEX(Data!$G$14:$G$30,MATCH('R5 - Output Incentives'!H$6+RIGHT('R5 - Output Incentives'!$C50,2),Data!$C$14:$C$30,0),0))</f>
        <v>0.19</v>
      </c>
      <c r="I50" s="920">
        <f>IF($C50=$B$33,$B$33,INDEX(Data!$G$14:$G$30,MATCH('R5 - Output Incentives'!I$6+RIGHT('R5 - Output Incentives'!$C50,2),Data!$C$14:$C$30,0),0))</f>
        <v>0.17</v>
      </c>
      <c r="J50" s="920">
        <f>IF($C50=$B$33,$B$33,INDEX(Data!$G$14:$G$30,MATCH('R5 - Output Incentives'!J$6+RIGHT('R5 - Output Incentives'!$C50,2),Data!$C$14:$C$30,0),0))</f>
        <v>0.17</v>
      </c>
      <c r="K50" s="921">
        <f>IF($C50=$B$33,$B$33,INDEX(Data!$G$14:$G$30,MATCH('R5 - Output Incentives'!K$6+RIGHT('R5 - Output Incentives'!$C50,2),Data!$C$14:$C$30,0),0))</f>
        <v>0.17</v>
      </c>
      <c r="L50" s="815"/>
      <c r="M50" s="816"/>
    </row>
    <row r="51" spans="1:13" s="2" customFormat="1">
      <c r="A51" s="166"/>
      <c r="B51" s="36" t="s">
        <v>210</v>
      </c>
      <c r="C51" s="161"/>
      <c r="D51" s="635">
        <f>IFERROR(D49*(1-D50),0)</f>
        <v>1.5199584415584417</v>
      </c>
      <c r="E51" s="636">
        <f t="shared" ref="E51:K51" si="14">IFERROR(E49*(1-E50),0)</f>
        <v>1.8001012658227844</v>
      </c>
      <c r="F51" s="636">
        <f t="shared" si="14"/>
        <v>1.7100720000000003</v>
      </c>
      <c r="G51" s="636">
        <f t="shared" si="14"/>
        <v>1.7389428839999996</v>
      </c>
      <c r="H51" s="636">
        <f t="shared" si="14"/>
        <v>1.7756800000000001</v>
      </c>
      <c r="I51" s="636">
        <f t="shared" si="14"/>
        <v>1.5211314361947688</v>
      </c>
      <c r="J51" s="636">
        <f t="shared" si="14"/>
        <v>0.83</v>
      </c>
      <c r="K51" s="636">
        <f t="shared" si="14"/>
        <v>0.83</v>
      </c>
      <c r="L51" s="694">
        <f>SUM(D51:INDEX(D51:K51,0,MATCH('RFPR cover'!$C$7,$D$6:$K$6,0)))</f>
        <v>10.065886027575996</v>
      </c>
      <c r="M51" s="695">
        <f>SUM(D51:K51)</f>
        <v>11.725886027575996</v>
      </c>
    </row>
    <row r="52" spans="1:13" s="2" customFormat="1">
      <c r="A52" s="166"/>
      <c r="B52" s="52"/>
      <c r="C52" s="162"/>
      <c r="D52" s="162"/>
      <c r="E52" s="162"/>
      <c r="F52" s="162"/>
      <c r="G52" s="162"/>
      <c r="H52" s="162"/>
      <c r="I52" s="162"/>
      <c r="J52" s="162"/>
      <c r="K52" s="162"/>
      <c r="L52" s="162"/>
      <c r="M52" s="162"/>
    </row>
    <row r="53" spans="1:13" s="2" customFormat="1">
      <c r="A53" s="166" t="str">
        <f>$A$12</f>
        <v>b</v>
      </c>
      <c r="B53" s="178" t="str">
        <f>INDEX($B$11:$B$15,MATCH($A53,$A$11:$A$15,0),0)&amp;""</f>
        <v>Stakeholder Satisfaction Output</v>
      </c>
      <c r="C53" s="161" t="str">
        <f>'RFPR cover'!$C$14</f>
        <v>£m 09/10</v>
      </c>
      <c r="D53" s="813">
        <f>INDEX($D$11:$K$17,MATCH($A53,$A$11:$A$17,0),0)</f>
        <v>0.34488714391899705</v>
      </c>
      <c r="E53" s="813">
        <f t="shared" ref="E53:K53" si="15">INDEX($D$11:$K$17,MATCH($A53,$A$11:$A$17,0),0)</f>
        <v>0.54267013075614579</v>
      </c>
      <c r="F53" s="813">
        <f t="shared" si="15"/>
        <v>0.75883366908795924</v>
      </c>
      <c r="G53" s="813">
        <f t="shared" si="15"/>
        <v>1.6044716326868131</v>
      </c>
      <c r="H53" s="813">
        <f t="shared" si="15"/>
        <v>2.1627558449544222</v>
      </c>
      <c r="I53" s="813">
        <f t="shared" si="15"/>
        <v>1.4901241919318948</v>
      </c>
      <c r="J53" s="813">
        <f t="shared" si="15"/>
        <v>1</v>
      </c>
      <c r="K53" s="813">
        <f t="shared" si="15"/>
        <v>1</v>
      </c>
      <c r="L53" s="696">
        <f>SUM(D53:INDEX(D53:K53,0,MATCH('RFPR cover'!$C$7,$D$6:$K$6,0)))</f>
        <v>6.9037426133362318</v>
      </c>
      <c r="M53" s="697">
        <f>SUM(D53:K53)</f>
        <v>8.903742613336231</v>
      </c>
    </row>
    <row r="54" spans="1:13" s="2" customFormat="1">
      <c r="A54" s="166"/>
      <c r="B54" s="36" t="s">
        <v>201</v>
      </c>
      <c r="C54" s="305" t="s">
        <v>202</v>
      </c>
      <c r="D54" s="919">
        <f>IF($C54=$B$33,$B$33,INDEX(Data!$G$14:$G$30,MATCH('R5 - Output Incentives'!D$6+RIGHT('R5 - Output Incentives'!$C54,2),Data!$C$14:$C$30,0),0))</f>
        <v>0.2</v>
      </c>
      <c r="E54" s="920">
        <f>IF($C54=$B$33,$B$33,INDEX(Data!$G$14:$G$30,MATCH('R5 - Output Incentives'!E$6+RIGHT('R5 - Output Incentives'!$C54,2),Data!$C$14:$C$30,0),0))</f>
        <v>0.2</v>
      </c>
      <c r="F54" s="920">
        <f>IF($C54=$B$33,$B$33,INDEX(Data!$G$14:$G$30,MATCH('R5 - Output Incentives'!F$6+RIGHT('R5 - Output Incentives'!$C54,2),Data!$C$14:$C$30,0),0))</f>
        <v>0.19</v>
      </c>
      <c r="G54" s="920">
        <f>IF($C54=$B$33,$B$33,INDEX(Data!$G$14:$G$30,MATCH('R5 - Output Incentives'!G$6+RIGHT('R5 - Output Incentives'!$C54,2),Data!$C$14:$C$30,0),0))</f>
        <v>0.19</v>
      </c>
      <c r="H54" s="920">
        <f>IF($C54=$B$33,$B$33,INDEX(Data!$G$14:$G$30,MATCH('R5 - Output Incentives'!H$6+RIGHT('R5 - Output Incentives'!$C54,2),Data!$C$14:$C$30,0),0))</f>
        <v>0.19</v>
      </c>
      <c r="I54" s="920">
        <f>IF($C54=$B$33,$B$33,INDEX(Data!$G$14:$G$30,MATCH('R5 - Output Incentives'!I$6+RIGHT('R5 - Output Incentives'!$C54,2),Data!$C$14:$C$30,0),0))</f>
        <v>0.17</v>
      </c>
      <c r="J54" s="920">
        <f>IF($C54=$B$33,$B$33,INDEX(Data!$G$14:$G$30,MATCH('R5 - Output Incentives'!J$6+RIGHT('R5 - Output Incentives'!$C54,2),Data!$C$14:$C$30,0),0))</f>
        <v>0.17</v>
      </c>
      <c r="K54" s="921">
        <f>IF($C54=$B$33,$B$33,INDEX(Data!$G$14:$G$30,MATCH('R5 - Output Incentives'!K$6+RIGHT('R5 - Output Incentives'!$C54,2),Data!$C$14:$C$30,0),0))</f>
        <v>0.17</v>
      </c>
      <c r="L54" s="815"/>
      <c r="M54" s="816"/>
    </row>
    <row r="55" spans="1:13" s="2" customFormat="1">
      <c r="A55" s="166"/>
      <c r="B55" s="36" t="s">
        <v>210</v>
      </c>
      <c r="C55" s="161"/>
      <c r="D55" s="635">
        <f>IFERROR(D53*(1-D54),0)</f>
        <v>0.27590971513519763</v>
      </c>
      <c r="E55" s="636">
        <f t="shared" ref="E55:K55" si="16">IFERROR(E53*(1-E54),0)</f>
        <v>0.43413610460491664</v>
      </c>
      <c r="F55" s="636">
        <f t="shared" si="16"/>
        <v>0.61465527196124703</v>
      </c>
      <c r="G55" s="636">
        <f t="shared" si="16"/>
        <v>1.2996220224763186</v>
      </c>
      <c r="H55" s="636">
        <f t="shared" si="16"/>
        <v>1.7518322344130821</v>
      </c>
      <c r="I55" s="636">
        <f t="shared" si="16"/>
        <v>1.2368030793034726</v>
      </c>
      <c r="J55" s="636">
        <f t="shared" si="16"/>
        <v>0.83</v>
      </c>
      <c r="K55" s="636">
        <f t="shared" si="16"/>
        <v>0.83</v>
      </c>
      <c r="L55" s="694">
        <f>SUM(D55:INDEX(D55:K55,0,MATCH('RFPR cover'!$C$7,$D$6:$K$6,0)))</f>
        <v>5.6129584278942346</v>
      </c>
      <c r="M55" s="695">
        <f>SUM(D55:K55)</f>
        <v>7.2729584278942347</v>
      </c>
    </row>
    <row r="56" spans="1:13" s="2" customFormat="1">
      <c r="A56" s="166"/>
      <c r="B56" s="52"/>
      <c r="C56" s="162"/>
      <c r="D56" s="162"/>
      <c r="E56" s="162"/>
      <c r="F56" s="162"/>
      <c r="G56" s="162"/>
      <c r="H56" s="162"/>
      <c r="I56" s="162"/>
      <c r="J56" s="162"/>
      <c r="K56" s="162"/>
      <c r="L56" s="162"/>
      <c r="M56" s="162"/>
    </row>
    <row r="57" spans="1:13" s="2" customFormat="1">
      <c r="A57" s="166" t="str">
        <f>$A$13</f>
        <v>c</v>
      </c>
      <c r="B57" s="178" t="str">
        <f>INDEX($B$11:$B$15,MATCH($A57,$A$11:$A$15,0),0)&amp;""</f>
        <v>SF6 Emissions</v>
      </c>
      <c r="C57" s="161" t="str">
        <f>'RFPR cover'!$C$14</f>
        <v>£m 09/10</v>
      </c>
      <c r="D57" s="813">
        <f>INDEX($D$11:$K$17,MATCH($A57,$A$11:$A$17,0),0)</f>
        <v>-0.12123119805194806</v>
      </c>
      <c r="E57" s="813">
        <f t="shared" ref="E57:K57" si="17">INDEX($D$11:$K$17,MATCH($A57,$A$11:$A$17,0),0)</f>
        <v>7.4963121455696238E-2</v>
      </c>
      <c r="F57" s="813">
        <f t="shared" si="17"/>
        <v>0.13815896899999994</v>
      </c>
      <c r="G57" s="813">
        <f t="shared" si="17"/>
        <v>0.25288808498281251</v>
      </c>
      <c r="H57" s="813">
        <f t="shared" si="17"/>
        <v>0.2570309566666667</v>
      </c>
      <c r="I57" s="813">
        <f t="shared" si="17"/>
        <v>6.4927374382716105E-2</v>
      </c>
      <c r="J57" s="813">
        <f t="shared" si="17"/>
        <v>0.05</v>
      </c>
      <c r="K57" s="813">
        <f t="shared" si="17"/>
        <v>0.05</v>
      </c>
      <c r="L57" s="696">
        <f>SUM(D57:INDEX(D57:K57,0,MATCH('RFPR cover'!$C$7,$D$6:$K$6,0)))</f>
        <v>0.66673730843594337</v>
      </c>
      <c r="M57" s="697">
        <f>SUM(D57:K57)</f>
        <v>0.76673730843594345</v>
      </c>
    </row>
    <row r="58" spans="1:13" s="2" customFormat="1">
      <c r="A58" s="166"/>
      <c r="B58" s="36" t="s">
        <v>201</v>
      </c>
      <c r="C58" s="305" t="s">
        <v>202</v>
      </c>
      <c r="D58" s="919">
        <f>IF($C58=$B$33,$B$33,INDEX(Data!$G$14:$G$30,MATCH('R5 - Output Incentives'!D$6+RIGHT('R5 - Output Incentives'!$C58,2),Data!$C$14:$C$30,0),0))</f>
        <v>0.2</v>
      </c>
      <c r="E58" s="920">
        <f>IF($C58=$B$33,$B$33,INDEX(Data!$G$14:$G$30,MATCH('R5 - Output Incentives'!E$6+RIGHT('R5 - Output Incentives'!$C58,2),Data!$C$14:$C$30,0),0))</f>
        <v>0.2</v>
      </c>
      <c r="F58" s="920">
        <f>IF($C58=$B$33,$B$33,INDEX(Data!$G$14:$G$30,MATCH('R5 - Output Incentives'!F$6+RIGHT('R5 - Output Incentives'!$C58,2),Data!$C$14:$C$30,0),0))</f>
        <v>0.19</v>
      </c>
      <c r="G58" s="920">
        <f>IF($C58=$B$33,$B$33,INDEX(Data!$G$14:$G$30,MATCH('R5 - Output Incentives'!G$6+RIGHT('R5 - Output Incentives'!$C58,2),Data!$C$14:$C$30,0),0))</f>
        <v>0.19</v>
      </c>
      <c r="H58" s="920">
        <f>IF($C58=$B$33,$B$33,INDEX(Data!$G$14:$G$30,MATCH('R5 - Output Incentives'!H$6+RIGHT('R5 - Output Incentives'!$C58,2),Data!$C$14:$C$30,0),0))</f>
        <v>0.19</v>
      </c>
      <c r="I58" s="920">
        <f>IF($C58=$B$33,$B$33,INDEX(Data!$G$14:$G$30,MATCH('R5 - Output Incentives'!I$6+RIGHT('R5 - Output Incentives'!$C58,2),Data!$C$14:$C$30,0),0))</f>
        <v>0.17</v>
      </c>
      <c r="J58" s="920">
        <f>IF($C58=$B$33,$B$33,INDEX(Data!$G$14:$G$30,MATCH('R5 - Output Incentives'!J$6+RIGHT('R5 - Output Incentives'!$C58,2),Data!$C$14:$C$30,0),0))</f>
        <v>0.17</v>
      </c>
      <c r="K58" s="921">
        <f>IF($C58=$B$33,$B$33,INDEX(Data!$G$14:$G$30,MATCH('R5 - Output Incentives'!K$6+RIGHT('R5 - Output Incentives'!$C58,2),Data!$C$14:$C$30,0),0))</f>
        <v>0.17</v>
      </c>
      <c r="L58" s="815"/>
      <c r="M58" s="816"/>
    </row>
    <row r="59" spans="1:13" s="2" customFormat="1">
      <c r="A59" s="166"/>
      <c r="B59" s="36" t="s">
        <v>210</v>
      </c>
      <c r="C59" s="161"/>
      <c r="D59" s="635">
        <f>IFERROR(D57*(1-D58),0)</f>
        <v>-9.6984958441558453E-2</v>
      </c>
      <c r="E59" s="636">
        <f t="shared" ref="E59:K59" si="18">IFERROR(E57*(1-E58),0)</f>
        <v>5.9970497164556991E-2</v>
      </c>
      <c r="F59" s="636">
        <f t="shared" si="18"/>
        <v>0.11190876488999996</v>
      </c>
      <c r="G59" s="636">
        <f t="shared" si="18"/>
        <v>0.20483934883607816</v>
      </c>
      <c r="H59" s="636">
        <f t="shared" si="18"/>
        <v>0.20819507490000003</v>
      </c>
      <c r="I59" s="636">
        <f t="shared" si="18"/>
        <v>5.3889720737654363E-2</v>
      </c>
      <c r="J59" s="636">
        <f t="shared" si="18"/>
        <v>4.1500000000000002E-2</v>
      </c>
      <c r="K59" s="636">
        <f t="shared" si="18"/>
        <v>4.1500000000000002E-2</v>
      </c>
      <c r="L59" s="694">
        <f>SUM(D59:INDEX(D59:K59,0,MATCH('RFPR cover'!$C$7,$D$6:$K$6,0)))</f>
        <v>0.54181844808673107</v>
      </c>
      <c r="M59" s="695">
        <f>SUM(D59:K59)</f>
        <v>0.62481844808673104</v>
      </c>
    </row>
    <row r="60" spans="1:13" s="2" customFormat="1">
      <c r="A60" s="166"/>
      <c r="B60" s="52"/>
      <c r="C60" s="162"/>
      <c r="D60" s="162"/>
      <c r="E60" s="162"/>
      <c r="F60" s="162"/>
      <c r="G60" s="162"/>
      <c r="H60" s="162"/>
      <c r="I60" s="162"/>
      <c r="J60" s="162"/>
      <c r="K60" s="162"/>
      <c r="L60" s="162"/>
      <c r="M60" s="162"/>
    </row>
    <row r="61" spans="1:13" s="2" customFormat="1">
      <c r="A61" s="166" t="str">
        <f>$A$14</f>
        <v>d</v>
      </c>
      <c r="B61" s="178" t="str">
        <f>INDEX($B$11:$B$15,MATCH($A61,$A$11:$A$15,0),0)&amp;""</f>
        <v>Environmental Discretionary Reward</v>
      </c>
      <c r="C61" s="161" t="str">
        <f>'RFPR cover'!$C$14</f>
        <v>£m 09/10</v>
      </c>
      <c r="D61" s="813">
        <f>INDEX($D$11:$K$17,MATCH($A61,$A$11:$A$17,0),0)</f>
        <v>0</v>
      </c>
      <c r="E61" s="813">
        <f t="shared" ref="E61:K61" si="19">INDEX($D$11:$K$17,MATCH($A61,$A$11:$A$17,0),0)</f>
        <v>0</v>
      </c>
      <c r="F61" s="813">
        <f t="shared" si="19"/>
        <v>3.326747175571342</v>
      </c>
      <c r="G61" s="813">
        <f t="shared" si="19"/>
        <v>3.2569587006400189</v>
      </c>
      <c r="H61" s="813">
        <f t="shared" si="19"/>
        <v>0</v>
      </c>
      <c r="I61" s="813">
        <f t="shared" si="19"/>
        <v>0</v>
      </c>
      <c r="J61" s="813">
        <f t="shared" si="19"/>
        <v>0.5</v>
      </c>
      <c r="K61" s="813">
        <f t="shared" si="19"/>
        <v>0.5</v>
      </c>
      <c r="L61" s="696">
        <f>SUM(D61:INDEX(D61:K61,0,MATCH('RFPR cover'!$C$7,$D$6:$K$6,0)))</f>
        <v>6.5837058762113614</v>
      </c>
      <c r="M61" s="697">
        <f>SUM(D61:K61)</f>
        <v>7.5837058762113614</v>
      </c>
    </row>
    <row r="62" spans="1:13" s="2" customFormat="1">
      <c r="A62" s="166"/>
      <c r="B62" s="36" t="s">
        <v>201</v>
      </c>
      <c r="C62" s="305" t="s">
        <v>202</v>
      </c>
      <c r="D62" s="919">
        <f>IF($C62=$B$33,$B$33,INDEX(Data!$G$14:$G$30,MATCH('R5 - Output Incentives'!D$6+RIGHT('R5 - Output Incentives'!$C62,2),Data!$C$14:$C$30,0),0))</f>
        <v>0.2</v>
      </c>
      <c r="E62" s="920">
        <f>IF($C62=$B$33,$B$33,INDEX(Data!$G$14:$G$30,MATCH('R5 - Output Incentives'!E$6+RIGHT('R5 - Output Incentives'!$C62,2),Data!$C$14:$C$30,0),0))</f>
        <v>0.2</v>
      </c>
      <c r="F62" s="920">
        <f>IF($C62=$B$33,$B$33,INDEX(Data!$G$14:$G$30,MATCH('R5 - Output Incentives'!F$6+RIGHT('R5 - Output Incentives'!$C62,2),Data!$C$14:$C$30,0),0))</f>
        <v>0.19</v>
      </c>
      <c r="G62" s="920">
        <f>IF($C62=$B$33,$B$33,INDEX(Data!$G$14:$G$30,MATCH('R5 - Output Incentives'!G$6+RIGHT('R5 - Output Incentives'!$C62,2),Data!$C$14:$C$30,0),0))</f>
        <v>0.19</v>
      </c>
      <c r="H62" s="920">
        <f>IF($C62=$B$33,$B$33,INDEX(Data!$G$14:$G$30,MATCH('R5 - Output Incentives'!H$6+RIGHT('R5 - Output Incentives'!$C62,2),Data!$C$14:$C$30,0),0))</f>
        <v>0.19</v>
      </c>
      <c r="I62" s="920">
        <f>IF($C62=$B$33,$B$33,INDEX(Data!$G$14:$G$30,MATCH('R5 - Output Incentives'!I$6+RIGHT('R5 - Output Incentives'!$C62,2),Data!$C$14:$C$30,0),0))</f>
        <v>0.17</v>
      </c>
      <c r="J62" s="920">
        <f>IF($C62=$B$33,$B$33,INDEX(Data!$G$14:$G$30,MATCH('R5 - Output Incentives'!J$6+RIGHT('R5 - Output Incentives'!$C62,2),Data!$C$14:$C$30,0),0))</f>
        <v>0.17</v>
      </c>
      <c r="K62" s="921">
        <f>IF($C62=$B$33,$B$33,INDEX(Data!$G$14:$G$30,MATCH('R5 - Output Incentives'!K$6+RIGHT('R5 - Output Incentives'!$C62,2),Data!$C$14:$C$30,0),0))</f>
        <v>0.17</v>
      </c>
      <c r="L62" s="815"/>
      <c r="M62" s="816"/>
    </row>
    <row r="63" spans="1:13" s="2" customFormat="1">
      <c r="A63" s="166"/>
      <c r="B63" s="36" t="s">
        <v>210</v>
      </c>
      <c r="C63" s="161"/>
      <c r="D63" s="635">
        <f>IFERROR(D61*(1-D62),0)</f>
        <v>0</v>
      </c>
      <c r="E63" s="636">
        <f t="shared" ref="E63:K63" si="20">IFERROR(E61*(1-E62),0)</f>
        <v>0</v>
      </c>
      <c r="F63" s="636">
        <f t="shared" si="20"/>
        <v>2.6946652122127874</v>
      </c>
      <c r="G63" s="636">
        <f t="shared" si="20"/>
        <v>2.6381365475184153</v>
      </c>
      <c r="H63" s="636">
        <f t="shared" si="20"/>
        <v>0</v>
      </c>
      <c r="I63" s="636">
        <f t="shared" si="20"/>
        <v>0</v>
      </c>
      <c r="J63" s="636">
        <f t="shared" si="20"/>
        <v>0.41499999999999998</v>
      </c>
      <c r="K63" s="636">
        <f t="shared" si="20"/>
        <v>0.41499999999999998</v>
      </c>
      <c r="L63" s="694">
        <f>SUM(D63:INDEX(D63:K63,0,MATCH('RFPR cover'!$C$7,$D$6:$K$6,0)))</f>
        <v>5.3328017597312023</v>
      </c>
      <c r="M63" s="695">
        <f>SUM(D63:K63)</f>
        <v>6.1628017597312024</v>
      </c>
    </row>
    <row r="64" spans="1:13" s="2" customFormat="1">
      <c r="A64" s="166"/>
      <c r="B64" s="52"/>
      <c r="C64" s="162"/>
      <c r="D64" s="162"/>
      <c r="E64" s="162"/>
      <c r="F64" s="162"/>
      <c r="G64" s="162"/>
      <c r="H64" s="162"/>
      <c r="I64" s="162"/>
      <c r="J64" s="162"/>
      <c r="K64" s="162"/>
      <c r="L64" s="162"/>
      <c r="M64" s="162"/>
    </row>
    <row r="65" spans="1:14" s="2" customFormat="1">
      <c r="A65" s="166" t="str">
        <f>$A$15</f>
        <v>e</v>
      </c>
      <c r="B65" s="178" t="str">
        <f>INDEX($B$11:$B$15,MATCH($A65,$A$11:$A$15,0),0)&amp;""</f>
        <v xml:space="preserve">Performance re offers of timely connection </v>
      </c>
      <c r="C65" s="161" t="str">
        <f>'RFPR cover'!$C$14</f>
        <v>£m 09/10</v>
      </c>
      <c r="D65" s="813">
        <f>INDEX($D$11:$K$17,MATCH($A65,$A$11:$A$17,0),0)</f>
        <v>-4.6936261527645608E-2</v>
      </c>
      <c r="E65" s="813">
        <f t="shared" ref="E65:K65" si="21">INDEX($D$11:$K$17,MATCH($A65,$A$11:$A$17,0),0)</f>
        <v>-3.1662383133561504E-2</v>
      </c>
      <c r="F65" s="813">
        <f t="shared" si="21"/>
        <v>0</v>
      </c>
      <c r="G65" s="813">
        <f t="shared" si="21"/>
        <v>0</v>
      </c>
      <c r="H65" s="813">
        <f t="shared" si="21"/>
        <v>-2.3296549317124503E-2</v>
      </c>
      <c r="I65" s="813">
        <f t="shared" si="21"/>
        <v>0</v>
      </c>
      <c r="J65" s="813">
        <f t="shared" si="21"/>
        <v>-0.05</v>
      </c>
      <c r="K65" s="813">
        <f t="shared" si="21"/>
        <v>-0.05</v>
      </c>
      <c r="L65" s="696">
        <f>SUM(D65:INDEX(D65:K65,0,MATCH('RFPR cover'!$C$7,$D$6:$K$6,0)))</f>
        <v>-0.10189519397833162</v>
      </c>
      <c r="M65" s="697">
        <f>SUM(D65:K65)</f>
        <v>-0.20189519397833161</v>
      </c>
    </row>
    <row r="66" spans="1:14" s="2" customFormat="1">
      <c r="A66" s="166"/>
      <c r="B66" s="36" t="s">
        <v>201</v>
      </c>
      <c r="C66" s="305" t="s">
        <v>202</v>
      </c>
      <c r="D66" s="919">
        <f>IF($C66=$B$33,$B$33,INDEX(Data!$G$14:$G$30,MATCH('R5 - Output Incentives'!D$6+RIGHT('R5 - Output Incentives'!$C66,2),Data!$C$14:$C$30,0),0))</f>
        <v>0.2</v>
      </c>
      <c r="E66" s="920">
        <f>IF($C66=$B$33,$B$33,INDEX(Data!$G$14:$G$30,MATCH('R5 - Output Incentives'!E$6+RIGHT('R5 - Output Incentives'!$C66,2),Data!$C$14:$C$30,0),0))</f>
        <v>0.2</v>
      </c>
      <c r="F66" s="920">
        <f>IF($C66=$B$33,$B$33,INDEX(Data!$G$14:$G$30,MATCH('R5 - Output Incentives'!F$6+RIGHT('R5 - Output Incentives'!$C66,2),Data!$C$14:$C$30,0),0))</f>
        <v>0.19</v>
      </c>
      <c r="G66" s="920">
        <f>IF($C66=$B$33,$B$33,INDEX(Data!$G$14:$G$30,MATCH('R5 - Output Incentives'!G$6+RIGHT('R5 - Output Incentives'!$C66,2),Data!$C$14:$C$30,0),0))</f>
        <v>0.19</v>
      </c>
      <c r="H66" s="920">
        <f>IF($C66=$B$33,$B$33,INDEX(Data!$G$14:$G$30,MATCH('R5 - Output Incentives'!H$6+RIGHT('R5 - Output Incentives'!$C66,2),Data!$C$14:$C$30,0),0))</f>
        <v>0.19</v>
      </c>
      <c r="I66" s="920">
        <f>IF($C66=$B$33,$B$33,INDEX(Data!$G$14:$G$30,MATCH('R5 - Output Incentives'!I$6+RIGHT('R5 - Output Incentives'!$C66,2),Data!$C$14:$C$30,0),0))</f>
        <v>0.17</v>
      </c>
      <c r="J66" s="920">
        <f>IF($C66=$B$33,$B$33,INDEX(Data!$G$14:$G$30,MATCH('R5 - Output Incentives'!J$6+RIGHT('R5 - Output Incentives'!$C66,2),Data!$C$14:$C$30,0),0))</f>
        <v>0.17</v>
      </c>
      <c r="K66" s="921">
        <f>IF($C66=$B$33,$B$33,INDEX(Data!$G$14:$G$30,MATCH('R5 - Output Incentives'!K$6+RIGHT('R5 - Output Incentives'!$C66,2),Data!$C$14:$C$30,0),0))</f>
        <v>0.17</v>
      </c>
      <c r="L66" s="815"/>
      <c r="M66" s="816"/>
    </row>
    <row r="67" spans="1:14" s="2" customFormat="1">
      <c r="A67" s="166"/>
      <c r="B67" s="36" t="s">
        <v>210</v>
      </c>
      <c r="C67" s="161"/>
      <c r="D67" s="635">
        <f>IFERROR(D65*(1-D66),0)</f>
        <v>-3.7549009222116486E-2</v>
      </c>
      <c r="E67" s="636">
        <f t="shared" ref="E67:K67" si="22">IFERROR(E65*(1-E66),0)</f>
        <v>-2.5329906506849204E-2</v>
      </c>
      <c r="F67" s="636">
        <f t="shared" si="22"/>
        <v>0</v>
      </c>
      <c r="G67" s="636">
        <f t="shared" si="22"/>
        <v>0</v>
      </c>
      <c r="H67" s="636">
        <f t="shared" si="22"/>
        <v>-1.8870204946870851E-2</v>
      </c>
      <c r="I67" s="636">
        <f t="shared" si="22"/>
        <v>0</v>
      </c>
      <c r="J67" s="636">
        <f t="shared" si="22"/>
        <v>-4.1500000000000002E-2</v>
      </c>
      <c r="K67" s="636">
        <f t="shared" si="22"/>
        <v>-4.1500000000000002E-2</v>
      </c>
      <c r="L67" s="694">
        <f>SUM(D67:INDEX(D67:K67,0,MATCH('RFPR cover'!$C$7,$D$6:$K$6,0)))</f>
        <v>-8.1749120675836534E-2</v>
      </c>
      <c r="M67" s="695">
        <f>SUM(D67:K67)</f>
        <v>-0.16474912067583655</v>
      </c>
    </row>
    <row r="68" spans="1:14" s="2" customFormat="1">
      <c r="A68" s="166"/>
      <c r="B68" s="52"/>
      <c r="C68" s="162"/>
      <c r="D68" s="162"/>
      <c r="E68" s="162"/>
      <c r="F68" s="162"/>
      <c r="G68" s="162"/>
      <c r="H68" s="162"/>
      <c r="I68" s="162"/>
      <c r="J68" s="162"/>
      <c r="K68" s="162"/>
      <c r="L68" s="162"/>
      <c r="M68" s="162"/>
    </row>
    <row r="69" spans="1:14" s="2" customFormat="1">
      <c r="A69" s="166" t="str">
        <f>$A$16</f>
        <v>f</v>
      </c>
      <c r="B69" s="178" t="str">
        <f>INDEX($B$11:$B$17,MATCH($A69,$A$11:$A$17,0),0)&amp;""</f>
        <v/>
      </c>
      <c r="C69" s="161" t="str">
        <f>'RFPR cover'!$C$14</f>
        <v>£m 09/10</v>
      </c>
      <c r="D69" s="813">
        <f>INDEX($D$11:$K$17,MATCH($A69,$A$11:$A$17,0),0)</f>
        <v>0</v>
      </c>
      <c r="E69" s="813">
        <f t="shared" ref="E69:K69" si="23">INDEX($D$11:$K$17,MATCH($A69,$A$11:$A$17,0),0)</f>
        <v>0</v>
      </c>
      <c r="F69" s="813">
        <f t="shared" si="23"/>
        <v>0</v>
      </c>
      <c r="G69" s="813">
        <f t="shared" si="23"/>
        <v>0</v>
      </c>
      <c r="H69" s="813">
        <f t="shared" si="23"/>
        <v>0</v>
      </c>
      <c r="I69" s="813">
        <f t="shared" si="23"/>
        <v>0</v>
      </c>
      <c r="J69" s="813">
        <f t="shared" si="23"/>
        <v>0</v>
      </c>
      <c r="K69" s="813">
        <f t="shared" si="23"/>
        <v>0</v>
      </c>
      <c r="L69" s="696">
        <f>SUM(D69:INDEX(D69:K69,0,MATCH('RFPR cover'!$C$7,$D$6:$K$6,0)))</f>
        <v>0</v>
      </c>
      <c r="M69" s="697">
        <f>SUM(D69:K69)</f>
        <v>0</v>
      </c>
    </row>
    <row r="70" spans="1:14" s="2" customFormat="1">
      <c r="A70" s="166"/>
      <c r="B70" s="36" t="s">
        <v>201</v>
      </c>
      <c r="C70" s="305" t="s">
        <v>241</v>
      </c>
      <c r="D70" s="919" t="str">
        <f>IF($C70=$B$33,$B$33,INDEX(Data!$G$14:$G$30,MATCH('R5 - Output Incentives'!D$6+RIGHT('R5 - Output Incentives'!$C70,2),Data!$C$14:$C$30,0),0))</f>
        <v>-</v>
      </c>
      <c r="E70" s="920" t="str">
        <f>IF($C70=$B$33,$B$33,INDEX(Data!$G$14:$G$30,MATCH('R5 - Output Incentives'!E$6+RIGHT('R5 - Output Incentives'!$C70,2),Data!$C$14:$C$30,0),0))</f>
        <v>-</v>
      </c>
      <c r="F70" s="920" t="str">
        <f>IF($C70=$B$33,$B$33,INDEX(Data!$G$14:$G$30,MATCH('R5 - Output Incentives'!F$6+RIGHT('R5 - Output Incentives'!$C70,2),Data!$C$14:$C$30,0),0))</f>
        <v>-</v>
      </c>
      <c r="G70" s="920" t="str">
        <f>IF($C70=$B$33,$B$33,INDEX(Data!$G$14:$G$30,MATCH('R5 - Output Incentives'!G$6+RIGHT('R5 - Output Incentives'!$C70,2),Data!$C$14:$C$30,0),0))</f>
        <v>-</v>
      </c>
      <c r="H70" s="920" t="str">
        <f>IF($C70=$B$33,$B$33,INDEX(Data!$G$14:$G$30,MATCH('R5 - Output Incentives'!H$6+RIGHT('R5 - Output Incentives'!$C70,2),Data!$C$14:$C$30,0),0))</f>
        <v>-</v>
      </c>
      <c r="I70" s="920" t="str">
        <f>IF($C70=$B$33,$B$33,INDEX(Data!$G$14:$G$30,MATCH('R5 - Output Incentives'!I$6+RIGHT('R5 - Output Incentives'!$C70,2),Data!$C$14:$C$30,0),0))</f>
        <v>-</v>
      </c>
      <c r="J70" s="920" t="str">
        <f>IF($C70=$B$33,$B$33,INDEX(Data!$G$14:$G$30,MATCH('R5 - Output Incentives'!J$6+RIGHT('R5 - Output Incentives'!$C70,2),Data!$C$14:$C$30,0),0))</f>
        <v>-</v>
      </c>
      <c r="K70" s="921" t="str">
        <f>IF($C70=$B$33,$B$33,INDEX(Data!$G$14:$G$30,MATCH('R5 - Output Incentives'!K$6+RIGHT('R5 - Output Incentives'!$C70,2),Data!$C$14:$C$30,0),0))</f>
        <v>-</v>
      </c>
      <c r="L70" s="815"/>
      <c r="M70" s="816"/>
    </row>
    <row r="71" spans="1:14" s="2" customFormat="1">
      <c r="A71" s="166"/>
      <c r="B71" s="36" t="s">
        <v>210</v>
      </c>
      <c r="C71" s="161"/>
      <c r="D71" s="635">
        <f>IFERROR(D69*(1-D70),0)</f>
        <v>0</v>
      </c>
      <c r="E71" s="636">
        <f t="shared" ref="E71:K71" si="24">IFERROR(E69*(1-E70),0)</f>
        <v>0</v>
      </c>
      <c r="F71" s="636">
        <f t="shared" si="24"/>
        <v>0</v>
      </c>
      <c r="G71" s="636">
        <f t="shared" si="24"/>
        <v>0</v>
      </c>
      <c r="H71" s="636">
        <f t="shared" si="24"/>
        <v>0</v>
      </c>
      <c r="I71" s="636">
        <f t="shared" si="24"/>
        <v>0</v>
      </c>
      <c r="J71" s="636">
        <f t="shared" si="24"/>
        <v>0</v>
      </c>
      <c r="K71" s="636">
        <f t="shared" si="24"/>
        <v>0</v>
      </c>
      <c r="L71" s="694">
        <f>SUM(D71:INDEX(D71:K71,0,MATCH('RFPR cover'!$C$7,$D$6:$K$6,0)))</f>
        <v>0</v>
      </c>
      <c r="M71" s="695">
        <f>SUM(D71:K71)</f>
        <v>0</v>
      </c>
    </row>
    <row r="72" spans="1:14" s="2" customFormat="1">
      <c r="A72" s="166"/>
      <c r="B72" s="52"/>
      <c r="C72" s="162"/>
      <c r="D72" s="162"/>
      <c r="E72" s="162"/>
      <c r="F72" s="162"/>
      <c r="G72" s="162"/>
      <c r="H72" s="162"/>
      <c r="I72" s="162"/>
      <c r="J72" s="162"/>
      <c r="K72" s="162"/>
      <c r="L72" s="162"/>
      <c r="M72" s="162"/>
    </row>
    <row r="73" spans="1:14" s="2" customFormat="1">
      <c r="A73" s="166" t="s">
        <v>466</v>
      </c>
      <c r="B73" s="178" t="str">
        <f>INDEX($B$11:$B$17,MATCH($A73,$A$11:$A$17,0),0)&amp;""</f>
        <v/>
      </c>
      <c r="C73" s="161" t="str">
        <f>'RFPR cover'!$C$14</f>
        <v>£m 09/10</v>
      </c>
      <c r="D73" s="813">
        <f>INDEX($D$11:$K$17,MATCH($A73,$A$11:$A$17,0),0)</f>
        <v>0</v>
      </c>
      <c r="E73" s="813">
        <f t="shared" ref="E73:K73" si="25">INDEX($D$11:$K$17,MATCH($A73,$A$11:$A$17,0),0)</f>
        <v>0</v>
      </c>
      <c r="F73" s="813">
        <f t="shared" si="25"/>
        <v>0</v>
      </c>
      <c r="G73" s="813">
        <f t="shared" si="25"/>
        <v>0</v>
      </c>
      <c r="H73" s="813">
        <f t="shared" si="25"/>
        <v>0</v>
      </c>
      <c r="I73" s="813">
        <f t="shared" si="25"/>
        <v>0</v>
      </c>
      <c r="J73" s="813">
        <f t="shared" si="25"/>
        <v>0</v>
      </c>
      <c r="K73" s="813">
        <f t="shared" si="25"/>
        <v>0</v>
      </c>
      <c r="L73" s="696">
        <f>SUM(D73:INDEX(D73:K73,0,MATCH('RFPR cover'!$C$7,$D$6:$K$6,0)))</f>
        <v>0</v>
      </c>
      <c r="M73" s="697">
        <f>SUM(D73:K73)</f>
        <v>0</v>
      </c>
    </row>
    <row r="74" spans="1:14" s="2" customFormat="1">
      <c r="A74" s="166"/>
      <c r="B74" s="36" t="s">
        <v>201</v>
      </c>
      <c r="C74" s="305" t="s">
        <v>241</v>
      </c>
      <c r="D74" s="919" t="str">
        <f>IF($C74=$B$33,$B$33,INDEX(Data!$G$14:$G$30,MATCH('R5 - Output Incentives'!D$6+RIGHT('R5 - Output Incentives'!$C74,2),Data!$C$14:$C$30,0),0))</f>
        <v>-</v>
      </c>
      <c r="E74" s="920" t="str">
        <f>IF($C74=$B$33,$B$33,INDEX(Data!$G$14:$G$30,MATCH('R5 - Output Incentives'!E$6+RIGHT('R5 - Output Incentives'!$C74,2),Data!$C$14:$C$30,0),0))</f>
        <v>-</v>
      </c>
      <c r="F74" s="920" t="str">
        <f>IF($C74=$B$33,$B$33,INDEX(Data!$G$14:$G$30,MATCH('R5 - Output Incentives'!F$6+RIGHT('R5 - Output Incentives'!$C74,2),Data!$C$14:$C$30,0),0))</f>
        <v>-</v>
      </c>
      <c r="G74" s="920" t="str">
        <f>IF($C74=$B$33,$B$33,INDEX(Data!$G$14:$G$30,MATCH('R5 - Output Incentives'!G$6+RIGHT('R5 - Output Incentives'!$C74,2),Data!$C$14:$C$30,0),0))</f>
        <v>-</v>
      </c>
      <c r="H74" s="920" t="str">
        <f>IF($C74=$B$33,$B$33,INDEX(Data!$G$14:$G$30,MATCH('R5 - Output Incentives'!H$6+RIGHT('R5 - Output Incentives'!$C74,2),Data!$C$14:$C$30,0),0))</f>
        <v>-</v>
      </c>
      <c r="I74" s="920" t="str">
        <f>IF($C74=$B$33,$B$33,INDEX(Data!$G$14:$G$30,MATCH('R5 - Output Incentives'!I$6+RIGHT('R5 - Output Incentives'!$C74,2),Data!$C$14:$C$30,0),0))</f>
        <v>-</v>
      </c>
      <c r="J74" s="920" t="str">
        <f>IF($C74=$B$33,$B$33,INDEX(Data!$G$14:$G$30,MATCH('R5 - Output Incentives'!J$6+RIGHT('R5 - Output Incentives'!$C74,2),Data!$C$14:$C$30,0),0))</f>
        <v>-</v>
      </c>
      <c r="K74" s="921" t="str">
        <f>IF($C74=$B$33,$B$33,INDEX(Data!$G$14:$G$30,MATCH('R5 - Output Incentives'!K$6+RIGHT('R5 - Output Incentives'!$C74,2),Data!$C$14:$C$30,0),0))</f>
        <v>-</v>
      </c>
      <c r="L74" s="815"/>
      <c r="M74" s="816"/>
    </row>
    <row r="75" spans="1:14" s="2" customFormat="1">
      <c r="A75" s="166"/>
      <c r="B75" s="36" t="s">
        <v>210</v>
      </c>
      <c r="C75" s="161"/>
      <c r="D75" s="635">
        <f>IFERROR(D73*(1-D74),0)</f>
        <v>0</v>
      </c>
      <c r="E75" s="636">
        <f t="shared" ref="E75:K75" si="26">IFERROR(E73*(1-E74),0)</f>
        <v>0</v>
      </c>
      <c r="F75" s="636">
        <f t="shared" si="26"/>
        <v>0</v>
      </c>
      <c r="G75" s="636">
        <f t="shared" si="26"/>
        <v>0</v>
      </c>
      <c r="H75" s="636">
        <f t="shared" si="26"/>
        <v>0</v>
      </c>
      <c r="I75" s="636">
        <f t="shared" si="26"/>
        <v>0</v>
      </c>
      <c r="J75" s="636">
        <f t="shared" si="26"/>
        <v>0</v>
      </c>
      <c r="K75" s="636">
        <f t="shared" si="26"/>
        <v>0</v>
      </c>
      <c r="L75" s="694">
        <f>SUM(D75:INDEX(D75:K75,0,MATCH('RFPR cover'!$C$7,$D$6:$K$6,0)))</f>
        <v>0</v>
      </c>
      <c r="M75" s="695">
        <f>SUM(D75:K75)</f>
        <v>0</v>
      </c>
    </row>
    <row r="76" spans="1:14" s="557" customFormat="1" ht="14.1" customHeight="1">
      <c r="A76" s="556"/>
      <c r="C76" s="558"/>
      <c r="D76" s="559"/>
      <c r="E76" s="559"/>
      <c r="F76" s="559"/>
      <c r="G76" s="559"/>
      <c r="H76" s="559"/>
      <c r="I76" s="559"/>
      <c r="J76" s="559"/>
      <c r="K76" s="559"/>
      <c r="L76" s="560"/>
      <c r="M76" s="560"/>
    </row>
    <row r="77" spans="1:14" s="2" customFormat="1">
      <c r="B77" s="116" t="s">
        <v>383</v>
      </c>
      <c r="C77" s="156"/>
      <c r="D77" s="139"/>
      <c r="E77" s="139"/>
      <c r="F77" s="139"/>
      <c r="G77" s="139"/>
      <c r="H77" s="139"/>
      <c r="I77" s="139"/>
      <c r="J77" s="139"/>
      <c r="K77" s="139"/>
      <c r="L77" s="80"/>
      <c r="M77" s="80"/>
      <c r="N77" s="80"/>
    </row>
    <row r="78" spans="1:14" s="2" customFormat="1">
      <c r="B78" s="385" t="s">
        <v>382</v>
      </c>
      <c r="C78" s="302"/>
      <c r="D78" s="303"/>
      <c r="E78" s="303"/>
      <c r="F78" s="303"/>
      <c r="G78" s="303"/>
      <c r="H78" s="303"/>
      <c r="I78" s="303"/>
      <c r="J78" s="303"/>
      <c r="K78" s="303"/>
      <c r="L78" s="304"/>
      <c r="M78" s="304"/>
      <c r="N78" s="304"/>
    </row>
    <row r="79" spans="1:14" s="2" customFormat="1">
      <c r="B79" s="385" t="s">
        <v>384</v>
      </c>
      <c r="C79" s="302"/>
      <c r="D79" s="303"/>
      <c r="E79" s="303"/>
      <c r="F79" s="303"/>
      <c r="G79" s="303"/>
      <c r="H79" s="303"/>
      <c r="I79" s="303"/>
      <c r="J79" s="303"/>
      <c r="K79" s="303"/>
      <c r="L79" s="304"/>
      <c r="M79" s="304"/>
      <c r="N79" s="304"/>
    </row>
    <row r="80" spans="1:14" s="557" customFormat="1">
      <c r="B80" s="562"/>
      <c r="C80" s="563"/>
      <c r="D80" s="564"/>
      <c r="E80" s="564"/>
      <c r="F80" s="564"/>
      <c r="G80" s="564"/>
      <c r="H80" s="564"/>
      <c r="I80" s="564"/>
      <c r="J80" s="564"/>
      <c r="K80" s="564"/>
    </row>
    <row r="81" spans="1:12" s="2" customFormat="1">
      <c r="B81" s="12"/>
      <c r="C81" s="565" t="s">
        <v>385</v>
      </c>
      <c r="D81" s="568" t="str">
        <f t="shared" ref="D81:K81" si="27">IF($C50=$B$33,D$6,IF(D$6-RIGHT($C50,1)&lt;$D$6,"Pre-RIIO",D$6-RIGHT($C50,1)))</f>
        <v>Pre-RIIO</v>
      </c>
      <c r="E81" s="569" t="str">
        <f t="shared" si="27"/>
        <v>Pre-RIIO</v>
      </c>
      <c r="F81" s="569">
        <f t="shared" si="27"/>
        <v>2014</v>
      </c>
      <c r="G81" s="569">
        <f t="shared" si="27"/>
        <v>2015</v>
      </c>
      <c r="H81" s="569">
        <f t="shared" si="27"/>
        <v>2016</v>
      </c>
      <c r="I81" s="569">
        <f t="shared" si="27"/>
        <v>2017</v>
      </c>
      <c r="J81" s="569">
        <f t="shared" si="27"/>
        <v>2018</v>
      </c>
      <c r="K81" s="570">
        <f t="shared" si="27"/>
        <v>2019</v>
      </c>
    </row>
    <row r="82" spans="1:12" s="2" customFormat="1">
      <c r="A82" s="3" t="str">
        <f>A11</f>
        <v>a</v>
      </c>
      <c r="B82" s="132" t="str">
        <f>B11&amp;""</f>
        <v>Network Reliability Incentive</v>
      </c>
      <c r="C82" s="142" t="s">
        <v>128</v>
      </c>
      <c r="D82" s="663">
        <v>0.50197499999999995</v>
      </c>
      <c r="E82" s="664">
        <v>0</v>
      </c>
      <c r="F82" s="664">
        <v>2.5557655501191276</v>
      </c>
      <c r="G82" s="664">
        <v>3.0355213845918985</v>
      </c>
      <c r="H82" s="646">
        <v>2.9305489936413602</v>
      </c>
      <c r="I82" s="646">
        <v>3.0755399240786461</v>
      </c>
      <c r="J82" s="646">
        <v>3.212597498306442</v>
      </c>
      <c r="K82" s="938">
        <v>2.7509683707089958</v>
      </c>
    </row>
    <row r="83" spans="1:12" s="2" customFormat="1">
      <c r="A83" s="3"/>
      <c r="B83" s="132"/>
      <c r="C83" s="142"/>
      <c r="D83" s="142"/>
      <c r="E83" s="142"/>
      <c r="F83" s="142"/>
      <c r="G83" s="142"/>
      <c r="H83" s="142"/>
      <c r="I83" s="142"/>
      <c r="J83" s="142"/>
      <c r="K83" s="142"/>
      <c r="L83" s="142"/>
    </row>
    <row r="84" spans="1:12" s="2" customFormat="1">
      <c r="A84" s="3"/>
      <c r="B84" s="132"/>
      <c r="C84" s="565" t="s">
        <v>385</v>
      </c>
      <c r="D84" s="568" t="str">
        <f t="shared" ref="D84:K84" si="28">IF($C54=$B$33,D$6,IF(D$6-RIGHT($C54,1)&lt;$D$6,"Pre-RIIO",D$6-RIGHT($C54,1)))</f>
        <v>Pre-RIIO</v>
      </c>
      <c r="E84" s="569" t="str">
        <f t="shared" si="28"/>
        <v>Pre-RIIO</v>
      </c>
      <c r="F84" s="569">
        <f t="shared" si="28"/>
        <v>2014</v>
      </c>
      <c r="G84" s="569">
        <f t="shared" si="28"/>
        <v>2015</v>
      </c>
      <c r="H84" s="569">
        <f t="shared" si="28"/>
        <v>2016</v>
      </c>
      <c r="I84" s="569">
        <f t="shared" si="28"/>
        <v>2017</v>
      </c>
      <c r="J84" s="569">
        <f t="shared" si="28"/>
        <v>2018</v>
      </c>
      <c r="K84" s="570">
        <f t="shared" si="28"/>
        <v>2019</v>
      </c>
    </row>
    <row r="85" spans="1:12" s="2" customFormat="1">
      <c r="A85" s="3" t="str">
        <f>A12</f>
        <v>b</v>
      </c>
      <c r="B85" s="132" t="str">
        <f>B12&amp;""</f>
        <v>Stakeholder Satisfaction Output</v>
      </c>
      <c r="C85" s="142" t="s">
        <v>128</v>
      </c>
      <c r="D85" s="663">
        <v>0</v>
      </c>
      <c r="E85" s="664">
        <v>0</v>
      </c>
      <c r="F85" s="664">
        <v>0.40640988029238712</v>
      </c>
      <c r="G85" s="664">
        <v>0.65200819278738997</v>
      </c>
      <c r="H85" s="646">
        <v>0.92008286977714449</v>
      </c>
      <c r="I85" s="646">
        <v>1.9841351747534413</v>
      </c>
      <c r="J85" s="646">
        <v>2.7925841782515395</v>
      </c>
      <c r="K85" s="938">
        <v>1.982754143024442</v>
      </c>
    </row>
    <row r="86" spans="1:12" s="2" customFormat="1">
      <c r="A86" s="3"/>
      <c r="B86" s="132"/>
      <c r="C86" s="142"/>
      <c r="D86" s="142"/>
      <c r="E86" s="142"/>
      <c r="F86" s="142"/>
      <c r="G86" s="142"/>
      <c r="H86" s="142"/>
      <c r="I86" s="142"/>
      <c r="J86" s="142"/>
      <c r="K86" s="142"/>
      <c r="L86" s="142"/>
    </row>
    <row r="87" spans="1:12" s="2" customFormat="1">
      <c r="A87" s="3"/>
      <c r="B87" s="132"/>
      <c r="C87" s="565" t="s">
        <v>385</v>
      </c>
      <c r="D87" s="568" t="str">
        <f>IF($C58=$B$33,D$6,IF(D$6-RIGHT($C58,1)&lt;$D$6,"Pre-RIIO",D$6-RIGHT($C58,1)))</f>
        <v>Pre-RIIO</v>
      </c>
      <c r="E87" s="569" t="str">
        <f t="shared" ref="E87:K87" si="29">IF($C58=$B$33,E$6,IF(E$6-RIGHT($C58,1)&lt;$D$6,"Pre-RIIO",E$6-RIGHT($C58,1)))</f>
        <v>Pre-RIIO</v>
      </c>
      <c r="F87" s="569">
        <f t="shared" si="29"/>
        <v>2014</v>
      </c>
      <c r="G87" s="569">
        <f t="shared" si="29"/>
        <v>2015</v>
      </c>
      <c r="H87" s="569">
        <f t="shared" si="29"/>
        <v>2016</v>
      </c>
      <c r="I87" s="569">
        <f t="shared" si="29"/>
        <v>2017</v>
      </c>
      <c r="J87" s="569">
        <f t="shared" si="29"/>
        <v>2018</v>
      </c>
      <c r="K87" s="570">
        <f t="shared" si="29"/>
        <v>2019</v>
      </c>
    </row>
    <row r="88" spans="1:12" s="2" customFormat="1">
      <c r="A88" s="3" t="str">
        <f>A13</f>
        <v>c</v>
      </c>
      <c r="B88" s="132" t="str">
        <f>B13&amp;""</f>
        <v>SF6 Emissions</v>
      </c>
      <c r="C88" s="142" t="s">
        <v>128</v>
      </c>
      <c r="D88" s="663">
        <v>0</v>
      </c>
      <c r="E88" s="664">
        <v>0</v>
      </c>
      <c r="F88" s="664">
        <v>-0.16307736375379039</v>
      </c>
      <c r="G88" s="664">
        <v>0.10112860317578495</v>
      </c>
      <c r="H88" s="646">
        <v>0.19177795924852106</v>
      </c>
      <c r="I88" s="646">
        <v>0.36228423668435522</v>
      </c>
      <c r="J88" s="646">
        <v>0.37667089609809323</v>
      </c>
      <c r="K88" s="938">
        <v>9.7459636773061686E-2</v>
      </c>
    </row>
    <row r="89" spans="1:12" s="2" customFormat="1">
      <c r="A89" s="3"/>
      <c r="B89" s="132"/>
      <c r="C89" s="142"/>
      <c r="D89" s="142"/>
      <c r="E89" s="142"/>
      <c r="F89" s="142"/>
      <c r="G89" s="142"/>
      <c r="H89" s="142"/>
      <c r="I89" s="142"/>
      <c r="J89" s="142"/>
      <c r="K89" s="142"/>
      <c r="L89" s="142"/>
    </row>
    <row r="90" spans="1:12" s="2" customFormat="1">
      <c r="A90" s="3"/>
      <c r="B90" s="132"/>
      <c r="C90" s="565" t="s">
        <v>385</v>
      </c>
      <c r="D90" s="568" t="str">
        <f t="shared" ref="D90:K90" si="30">IF($C62=$B$33,D$6,IF(D$6-RIGHT($C62,1)&lt;$D$6,"Pre-RIIO",D$6-RIGHT($C62,1)))</f>
        <v>Pre-RIIO</v>
      </c>
      <c r="E90" s="569" t="str">
        <f t="shared" si="30"/>
        <v>Pre-RIIO</v>
      </c>
      <c r="F90" s="569">
        <f t="shared" si="30"/>
        <v>2014</v>
      </c>
      <c r="G90" s="569">
        <f t="shared" si="30"/>
        <v>2015</v>
      </c>
      <c r="H90" s="569">
        <f t="shared" si="30"/>
        <v>2016</v>
      </c>
      <c r="I90" s="569">
        <f t="shared" si="30"/>
        <v>2017</v>
      </c>
      <c r="J90" s="569">
        <f t="shared" si="30"/>
        <v>2018</v>
      </c>
      <c r="K90" s="570">
        <f t="shared" si="30"/>
        <v>2019</v>
      </c>
    </row>
    <row r="91" spans="1:12" s="2" customFormat="1">
      <c r="A91" s="3" t="str">
        <f>A14</f>
        <v>d</v>
      </c>
      <c r="B91" s="132" t="str">
        <f>B14&amp;""</f>
        <v>Environmental Discretionary Reward</v>
      </c>
      <c r="C91" s="142" t="s">
        <v>128</v>
      </c>
      <c r="D91" s="663">
        <v>0</v>
      </c>
      <c r="E91" s="664">
        <v>0</v>
      </c>
      <c r="F91" s="664">
        <v>0</v>
      </c>
      <c r="G91" s="664">
        <v>0</v>
      </c>
      <c r="H91" s="646">
        <v>4.0336679999999996</v>
      </c>
      <c r="I91" s="646">
        <v>4.0276476000000008</v>
      </c>
      <c r="J91" s="646">
        <v>0</v>
      </c>
      <c r="K91" s="938">
        <v>0</v>
      </c>
    </row>
    <row r="92" spans="1:12" s="2" customFormat="1">
      <c r="A92" s="3"/>
      <c r="B92" s="132"/>
      <c r="C92" s="142"/>
      <c r="D92" s="142"/>
      <c r="E92" s="142"/>
      <c r="F92" s="142"/>
      <c r="G92" s="142"/>
      <c r="H92" s="142"/>
      <c r="I92" s="142"/>
      <c r="J92" s="142"/>
      <c r="K92" s="142"/>
      <c r="L92" s="142"/>
    </row>
    <row r="93" spans="1:12" s="2" customFormat="1">
      <c r="A93" s="3"/>
      <c r="B93" s="132"/>
      <c r="C93" s="565" t="s">
        <v>385</v>
      </c>
      <c r="D93" s="568" t="str">
        <f>IF($C66=$B$33,D$6,IF(D$6-RIGHT($C66,1)&lt;$D$6,"Pre-RIIO",D$6-RIGHT($C66,1)))</f>
        <v>Pre-RIIO</v>
      </c>
      <c r="E93" s="569" t="str">
        <f t="shared" ref="E93:K93" si="31">IF($C66=$B$33,E$6,IF(E$6-RIGHT($C66,1)&lt;$D$6,"Pre-RIIO",E$6-RIGHT($C66,1)))</f>
        <v>Pre-RIIO</v>
      </c>
      <c r="F93" s="569">
        <f t="shared" si="31"/>
        <v>2014</v>
      </c>
      <c r="G93" s="569">
        <f t="shared" si="31"/>
        <v>2015</v>
      </c>
      <c r="H93" s="569">
        <f t="shared" si="31"/>
        <v>2016</v>
      </c>
      <c r="I93" s="569">
        <f t="shared" si="31"/>
        <v>2017</v>
      </c>
      <c r="J93" s="569">
        <f t="shared" si="31"/>
        <v>2018</v>
      </c>
      <c r="K93" s="570">
        <f t="shared" si="31"/>
        <v>2019</v>
      </c>
    </row>
    <row r="94" spans="1:12" s="2" customFormat="1">
      <c r="A94" s="3" t="str">
        <f>A15</f>
        <v>e</v>
      </c>
      <c r="B94" s="132" t="str">
        <f>B15&amp;""</f>
        <v xml:space="preserve">Performance re offers of timely connection </v>
      </c>
      <c r="C94" s="142" t="s">
        <v>128</v>
      </c>
      <c r="D94" s="663">
        <v>0</v>
      </c>
      <c r="E94" s="664">
        <v>0</v>
      </c>
      <c r="F94" s="664">
        <v>-5.5308992420148931E-2</v>
      </c>
      <c r="G94" s="664">
        <v>-3.7310481315315953E-2</v>
      </c>
      <c r="H94" s="646">
        <v>0</v>
      </c>
      <c r="I94" s="646">
        <v>0</v>
      </c>
      <c r="J94" s="646">
        <v>-2.7459374198862904E-2</v>
      </c>
      <c r="K94" s="938">
        <v>0</v>
      </c>
    </row>
    <row r="95" spans="1:12" s="2" customFormat="1">
      <c r="A95" s="3"/>
      <c r="B95" s="132"/>
      <c r="C95" s="142"/>
      <c r="D95" s="142"/>
      <c r="E95" s="142"/>
      <c r="F95" s="142"/>
      <c r="G95" s="142"/>
      <c r="H95" s="142"/>
      <c r="I95" s="142"/>
      <c r="J95" s="142"/>
      <c r="K95" s="142"/>
      <c r="L95" s="142"/>
    </row>
    <row r="96" spans="1:12" s="2" customFormat="1">
      <c r="A96" s="3"/>
      <c r="B96" s="132"/>
      <c r="C96" s="565" t="s">
        <v>385</v>
      </c>
      <c r="D96" s="568">
        <f>IF($C70=$B$33,D$6,IF(D$6-RIGHT($C70,1)&lt;$D$6,"Pre-RIIO",D$6-RIGHT($C70,1)))</f>
        <v>2014</v>
      </c>
      <c r="E96" s="568">
        <f t="shared" ref="E96:K96" si="32">IF($C70=$B$33,E$6,IF(E$6-RIGHT($C70,1)&lt;$D$6,"Pre-RIIO",E$6-RIGHT($C70,1)))</f>
        <v>2015</v>
      </c>
      <c r="F96" s="568">
        <f t="shared" si="32"/>
        <v>2016</v>
      </c>
      <c r="G96" s="568">
        <f t="shared" si="32"/>
        <v>2017</v>
      </c>
      <c r="H96" s="568">
        <f t="shared" si="32"/>
        <v>2018</v>
      </c>
      <c r="I96" s="568">
        <f t="shared" si="32"/>
        <v>2019</v>
      </c>
      <c r="J96" s="568">
        <f t="shared" si="32"/>
        <v>2020</v>
      </c>
      <c r="K96" s="939">
        <f t="shared" si="32"/>
        <v>2021</v>
      </c>
    </row>
    <row r="97" spans="1:13" s="2" customFormat="1">
      <c r="A97" s="3" t="str">
        <f>A16</f>
        <v>f</v>
      </c>
      <c r="B97" s="132" t="str">
        <f>B16&amp;""</f>
        <v/>
      </c>
      <c r="C97" s="142" t="s">
        <v>128</v>
      </c>
      <c r="D97" s="663"/>
      <c r="E97" s="664"/>
      <c r="F97" s="664"/>
      <c r="G97" s="664"/>
      <c r="H97" s="646"/>
      <c r="I97" s="646"/>
      <c r="J97" s="646"/>
      <c r="K97" s="938"/>
    </row>
    <row r="98" spans="1:13" s="2" customFormat="1">
      <c r="A98" s="3"/>
      <c r="B98" s="132"/>
      <c r="C98" s="142"/>
      <c r="D98" s="142"/>
      <c r="E98" s="142"/>
      <c r="F98" s="142"/>
      <c r="G98" s="142"/>
      <c r="H98" s="142"/>
      <c r="I98" s="142"/>
      <c r="J98" s="142"/>
      <c r="K98" s="142"/>
      <c r="L98" s="142"/>
    </row>
    <row r="99" spans="1:13" s="2" customFormat="1">
      <c r="A99" s="3"/>
      <c r="B99" s="132"/>
      <c r="C99" s="565" t="s">
        <v>385</v>
      </c>
      <c r="D99" s="568">
        <f>IF($C74=$B$33,D$6,IF(D$6-RIGHT($C74,1)&lt;$D$6,"Pre-RIIO",D$6-RIGHT($C74,1)))</f>
        <v>2014</v>
      </c>
      <c r="E99" s="568">
        <f t="shared" ref="E99:K99" si="33">IF($C74=$B$33,E$6,IF(E$6-RIGHT($C74,1)&lt;$D$6,"Pre-RIIO",E$6-RIGHT($C74,1)))</f>
        <v>2015</v>
      </c>
      <c r="F99" s="568">
        <f t="shared" si="33"/>
        <v>2016</v>
      </c>
      <c r="G99" s="568">
        <f t="shared" si="33"/>
        <v>2017</v>
      </c>
      <c r="H99" s="568">
        <f t="shared" si="33"/>
        <v>2018</v>
      </c>
      <c r="I99" s="568">
        <f t="shared" si="33"/>
        <v>2019</v>
      </c>
      <c r="J99" s="568">
        <f t="shared" si="33"/>
        <v>2020</v>
      </c>
      <c r="K99" s="568">
        <f t="shared" si="33"/>
        <v>2021</v>
      </c>
    </row>
    <row r="100" spans="1:13" s="2" customFormat="1">
      <c r="A100" s="3" t="str">
        <f>A17</f>
        <v>g</v>
      </c>
      <c r="B100" s="132" t="str">
        <f>B17&amp;""</f>
        <v/>
      </c>
      <c r="C100" s="142" t="s">
        <v>128</v>
      </c>
      <c r="D100" s="663"/>
      <c r="E100" s="664"/>
      <c r="F100" s="664"/>
      <c r="G100" s="664"/>
      <c r="H100" s="642"/>
      <c r="I100" s="642"/>
      <c r="J100" s="642"/>
      <c r="K100" s="642"/>
    </row>
    <row r="101" spans="1:13" s="2" customFormat="1">
      <c r="A101" s="3"/>
      <c r="B101" s="132"/>
      <c r="C101" s="142"/>
      <c r="D101" s="142"/>
      <c r="E101" s="142"/>
      <c r="F101" s="142"/>
      <c r="G101" s="142"/>
      <c r="H101" s="142"/>
      <c r="I101" s="142"/>
      <c r="J101" s="142"/>
      <c r="K101" s="142"/>
      <c r="L101" s="142"/>
      <c r="M101" s="142"/>
    </row>
    <row r="102" spans="1:13" s="2" customFormat="1">
      <c r="B102" s="12" t="s">
        <v>158</v>
      </c>
      <c r="C102" s="163" t="s">
        <v>128</v>
      </c>
      <c r="D102" s="635">
        <f>SUM(D82,D85,D88,D91,D94,D97,D100)</f>
        <v>0.50197499999999995</v>
      </c>
      <c r="E102" s="635">
        <f t="shared" ref="E102:K102" si="34">SUM(E82,E85,E88,E91,E94,E97,E100)</f>
        <v>0</v>
      </c>
      <c r="F102" s="635">
        <f t="shared" si="34"/>
        <v>2.7437890742375752</v>
      </c>
      <c r="G102" s="635">
        <f t="shared" si="34"/>
        <v>3.7513476992397576</v>
      </c>
      <c r="H102" s="636">
        <f>SUM(H82,H85,H88,H91,H94,H97,H100)</f>
        <v>8.076077822667024</v>
      </c>
      <c r="I102" s="636">
        <f t="shared" si="34"/>
        <v>9.449606935516444</v>
      </c>
      <c r="J102" s="636">
        <f t="shared" si="34"/>
        <v>6.3543931984572124</v>
      </c>
      <c r="K102" s="636">
        <f t="shared" si="34"/>
        <v>4.8311821505064998</v>
      </c>
    </row>
    <row r="103" spans="1:13" s="2" customFormat="1">
      <c r="C103" s="142"/>
    </row>
    <row r="104" spans="1:13" s="2" customFormat="1">
      <c r="A104" s="36"/>
      <c r="B104" s="12" t="s">
        <v>361</v>
      </c>
      <c r="C104" s="162"/>
      <c r="D104" s="162"/>
      <c r="E104" s="162"/>
      <c r="F104" s="162"/>
      <c r="G104" s="162"/>
      <c r="H104" s="162"/>
      <c r="I104" s="162"/>
      <c r="J104" s="162"/>
      <c r="K104" s="162"/>
      <c r="L104" s="162"/>
      <c r="M104" s="162"/>
    </row>
    <row r="105" spans="1:13" s="2" customFormat="1">
      <c r="A105" s="279" t="str">
        <f>A82</f>
        <v>a</v>
      </c>
      <c r="B105" s="996" t="s">
        <v>531</v>
      </c>
      <c r="C105" s="996"/>
      <c r="D105" s="996"/>
      <c r="E105" s="996"/>
      <c r="F105" s="996"/>
      <c r="G105" s="996"/>
      <c r="H105" s="996"/>
      <c r="I105" s="996"/>
      <c r="J105" s="996"/>
      <c r="K105" s="996"/>
      <c r="L105" s="996"/>
      <c r="M105" s="996"/>
    </row>
    <row r="106" spans="1:13" s="2" customFormat="1">
      <c r="A106" s="279" t="str">
        <f>A85</f>
        <v>b</v>
      </c>
      <c r="B106" s="996" t="s">
        <v>531</v>
      </c>
      <c r="C106" s="996"/>
      <c r="D106" s="996"/>
      <c r="E106" s="996"/>
      <c r="F106" s="996"/>
      <c r="G106" s="996"/>
      <c r="H106" s="996"/>
      <c r="I106" s="996"/>
      <c r="J106" s="996"/>
      <c r="K106" s="996"/>
      <c r="L106" s="996"/>
      <c r="M106" s="996"/>
    </row>
    <row r="107" spans="1:13" s="2" customFormat="1">
      <c r="A107" s="279" t="str">
        <f>A88</f>
        <v>c</v>
      </c>
      <c r="B107" s="996" t="s">
        <v>531</v>
      </c>
      <c r="C107" s="996"/>
      <c r="D107" s="996"/>
      <c r="E107" s="996"/>
      <c r="F107" s="996"/>
      <c r="G107" s="996"/>
      <c r="H107" s="996"/>
      <c r="I107" s="996"/>
      <c r="J107" s="996"/>
      <c r="K107" s="996"/>
      <c r="L107" s="996"/>
      <c r="M107" s="996"/>
    </row>
    <row r="108" spans="1:13" s="2" customFormat="1">
      <c r="A108" s="279" t="str">
        <f>A91</f>
        <v>d</v>
      </c>
      <c r="B108" s="996" t="s">
        <v>531</v>
      </c>
      <c r="C108" s="996"/>
      <c r="D108" s="996"/>
      <c r="E108" s="996"/>
      <c r="F108" s="996"/>
      <c r="G108" s="996"/>
      <c r="H108" s="996"/>
      <c r="I108" s="996"/>
      <c r="J108" s="996"/>
      <c r="K108" s="996"/>
      <c r="L108" s="996"/>
      <c r="M108" s="996"/>
    </row>
    <row r="109" spans="1:13" s="2" customFormat="1">
      <c r="A109" s="279" t="str">
        <f>A94</f>
        <v>e</v>
      </c>
      <c r="B109" s="996" t="s">
        <v>531</v>
      </c>
      <c r="C109" s="996"/>
      <c r="D109" s="996"/>
      <c r="E109" s="996"/>
      <c r="F109" s="996"/>
      <c r="G109" s="996"/>
      <c r="H109" s="996"/>
      <c r="I109" s="996"/>
      <c r="J109" s="996"/>
      <c r="K109" s="996"/>
      <c r="L109" s="996"/>
      <c r="M109" s="996"/>
    </row>
    <row r="110" spans="1:13" s="2" customFormat="1">
      <c r="A110" s="279" t="str">
        <f>A97</f>
        <v>f</v>
      </c>
      <c r="B110" s="996" t="s">
        <v>255</v>
      </c>
      <c r="C110" s="996"/>
      <c r="D110" s="996"/>
      <c r="E110" s="996"/>
      <c r="F110" s="996"/>
      <c r="G110" s="996"/>
      <c r="H110" s="996"/>
      <c r="I110" s="996"/>
      <c r="J110" s="996"/>
      <c r="K110" s="996"/>
      <c r="L110" s="996"/>
      <c r="M110" s="996"/>
    </row>
    <row r="111" spans="1:13" s="2" customFormat="1">
      <c r="A111" s="279" t="str">
        <f>A100</f>
        <v>g</v>
      </c>
      <c r="B111" s="996" t="s">
        <v>255</v>
      </c>
      <c r="C111" s="996"/>
      <c r="D111" s="996"/>
      <c r="E111" s="996"/>
      <c r="F111" s="996"/>
      <c r="G111" s="996"/>
      <c r="H111" s="996"/>
      <c r="I111" s="996"/>
      <c r="J111" s="996"/>
      <c r="K111" s="996"/>
      <c r="L111" s="996"/>
      <c r="M111" s="996"/>
    </row>
    <row r="112" spans="1:13" s="557" customFormat="1">
      <c r="A112" s="556"/>
      <c r="C112" s="558"/>
      <c r="D112" s="559"/>
      <c r="E112" s="559"/>
      <c r="F112" s="559"/>
      <c r="G112" s="559"/>
      <c r="H112" s="559"/>
      <c r="I112" s="559"/>
      <c r="J112" s="559"/>
      <c r="K112" s="559"/>
      <c r="L112" s="560"/>
      <c r="M112" s="560"/>
    </row>
    <row r="113" spans="1:14" s="557" customFormat="1">
      <c r="A113" s="556"/>
      <c r="C113" s="558"/>
      <c r="D113" s="558"/>
      <c r="E113" s="558"/>
      <c r="F113" s="558"/>
      <c r="G113" s="558"/>
      <c r="H113" s="558"/>
      <c r="I113" s="558"/>
      <c r="J113" s="558"/>
      <c r="K113" s="558"/>
      <c r="L113" s="558"/>
      <c r="M113" s="558"/>
    </row>
    <row r="114" spans="1:14" s="2" customFormat="1">
      <c r="A114" s="80"/>
      <c r="B114" s="80"/>
      <c r="C114" s="156"/>
      <c r="D114" s="80"/>
      <c r="E114" s="80"/>
      <c r="F114" s="80"/>
      <c r="G114" s="80"/>
      <c r="H114" s="80"/>
      <c r="I114" s="80"/>
      <c r="J114" s="80"/>
      <c r="K114" s="80"/>
      <c r="L114" s="80"/>
      <c r="M114" s="80"/>
      <c r="N114" s="80"/>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5" priority="37">
      <formula>AND(D$5="Actuals",E$5="Forecast")</formula>
    </cfRule>
  </conditionalFormatting>
  <conditionalFormatting sqref="D5:K5">
    <cfRule type="expression" dxfId="34" priority="32">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9.625" customWidth="1"/>
    <col min="3" max="3" width="14.125" style="142" customWidth="1"/>
    <col min="4" max="11" width="11.125" customWidth="1"/>
    <col min="12" max="12" width="5" customWidth="1"/>
  </cols>
  <sheetData>
    <row r="1" spans="1:12" s="32" customFormat="1" ht="20.25">
      <c r="A1" s="264" t="s">
        <v>100</v>
      </c>
      <c r="B1" s="265"/>
      <c r="C1" s="288"/>
      <c r="D1" s="265"/>
      <c r="E1" s="265"/>
      <c r="F1" s="265"/>
      <c r="G1" s="265"/>
      <c r="H1" s="265"/>
      <c r="I1" s="266"/>
      <c r="J1" s="266"/>
      <c r="K1" s="267"/>
      <c r="L1" s="268"/>
    </row>
    <row r="2" spans="1:12" s="32" customFormat="1" ht="20.25">
      <c r="A2" s="124" t="str">
        <f>'RFPR cover'!C5</f>
        <v>SPT</v>
      </c>
      <c r="B2" s="30"/>
      <c r="C2" s="140"/>
      <c r="D2" s="30"/>
      <c r="E2" s="30"/>
      <c r="F2" s="30"/>
      <c r="G2" s="30"/>
      <c r="H2" s="30"/>
      <c r="I2" s="27"/>
      <c r="J2" s="27"/>
      <c r="K2" s="27"/>
      <c r="L2" s="125"/>
    </row>
    <row r="3" spans="1:12" s="38" customFormat="1" ht="23.25">
      <c r="A3" s="289">
        <f>'RFPR cover'!C7</f>
        <v>2019</v>
      </c>
      <c r="B3" s="936" t="str">
        <f>'R1 - RoRE'!B3</f>
        <v/>
      </c>
      <c r="C3" s="291"/>
      <c r="D3" s="290"/>
      <c r="E3" s="290"/>
      <c r="F3" s="290"/>
      <c r="G3" s="290"/>
      <c r="H3" s="290"/>
      <c r="I3" s="263"/>
      <c r="J3" s="263"/>
      <c r="K3" s="263"/>
      <c r="L3" s="271"/>
    </row>
    <row r="4" spans="1:12" s="2" customFormat="1" ht="12.75" customHeight="1">
      <c r="C4" s="142"/>
    </row>
    <row r="5" spans="1:12" s="2" customFormat="1" ht="12.75" customHeight="1">
      <c r="B5" s="3"/>
      <c r="C5" s="142"/>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2" s="2" customFormat="1" ht="12.75" customHeight="1">
      <c r="C6" s="142"/>
      <c r="D6" s="117">
        <f>'RFPR cover'!$C$13</f>
        <v>2014</v>
      </c>
      <c r="E6" s="118">
        <f>D6+1</f>
        <v>2015</v>
      </c>
      <c r="F6" s="118">
        <f t="shared" ref="F6:K6" si="0">E6+1</f>
        <v>2016</v>
      </c>
      <c r="G6" s="118">
        <f t="shared" si="0"/>
        <v>2017</v>
      </c>
      <c r="H6" s="118">
        <f t="shared" si="0"/>
        <v>2018</v>
      </c>
      <c r="I6" s="118">
        <f t="shared" si="0"/>
        <v>2019</v>
      </c>
      <c r="J6" s="118">
        <f t="shared" si="0"/>
        <v>2020</v>
      </c>
      <c r="K6" s="118">
        <f t="shared" si="0"/>
        <v>2021</v>
      </c>
    </row>
    <row r="7" spans="1:12" s="2" customFormat="1">
      <c r="C7" s="142"/>
    </row>
    <row r="8" spans="1:12" s="2" customFormat="1">
      <c r="B8" s="52" t="s">
        <v>134</v>
      </c>
      <c r="C8" s="143"/>
      <c r="D8" s="57"/>
      <c r="E8" s="57"/>
      <c r="F8" s="57"/>
      <c r="G8" s="57"/>
      <c r="H8" s="57"/>
      <c r="I8" s="57"/>
      <c r="J8" s="57"/>
      <c r="K8" s="57"/>
    </row>
    <row r="9" spans="1:12" s="2" customFormat="1">
      <c r="B9" s="231" t="s">
        <v>503</v>
      </c>
      <c r="C9" s="158" t="s">
        <v>128</v>
      </c>
      <c r="D9" s="619">
        <v>0.65500000000000003</v>
      </c>
      <c r="E9" s="620">
        <v>0.8</v>
      </c>
      <c r="F9" s="620">
        <v>0.91700000000000004</v>
      </c>
      <c r="G9" s="620">
        <v>1.2010000000000001</v>
      </c>
      <c r="H9" s="620">
        <v>1.3102153474998914</v>
      </c>
      <c r="I9" s="620">
        <v>1.2957664374627189</v>
      </c>
      <c r="J9" s="620">
        <f>I9</f>
        <v>1.2957664374627189</v>
      </c>
      <c r="K9" s="620">
        <f>J9</f>
        <v>1.2957664374627189</v>
      </c>
    </row>
    <row r="10" spans="1:12" s="2" customFormat="1">
      <c r="B10" s="231" t="s">
        <v>485</v>
      </c>
      <c r="C10" s="158" t="s">
        <v>128</v>
      </c>
      <c r="D10" s="621"/>
      <c r="E10" s="622"/>
      <c r="F10" s="622"/>
      <c r="G10" s="622"/>
      <c r="H10" s="622"/>
      <c r="I10" s="622"/>
      <c r="J10" s="622"/>
      <c r="K10" s="622"/>
    </row>
    <row r="11" spans="1:12" s="2" customFormat="1">
      <c r="B11" s="231" t="s">
        <v>502</v>
      </c>
      <c r="C11" s="158" t="s">
        <v>128</v>
      </c>
      <c r="D11" s="880">
        <v>6.5500000000000003E-2</v>
      </c>
      <c r="E11" s="881">
        <v>7.999999999999996E-2</v>
      </c>
      <c r="F11" s="881">
        <v>9.1700000000000004E-2</v>
      </c>
      <c r="G11" s="881">
        <v>0.12009999999999987</v>
      </c>
      <c r="H11" s="881">
        <v>0.13102153474998901</v>
      </c>
      <c r="I11" s="881">
        <v>0.12957664374627176</v>
      </c>
      <c r="J11" s="881">
        <f>I11</f>
        <v>0.12957664374627176</v>
      </c>
      <c r="K11" s="881">
        <f>J11</f>
        <v>0.12957664374627176</v>
      </c>
    </row>
    <row r="12" spans="1:12" s="12" customFormat="1">
      <c r="B12" s="52" t="s">
        <v>132</v>
      </c>
      <c r="C12" s="158" t="s">
        <v>128</v>
      </c>
      <c r="D12" s="635">
        <f>D9-D10-D11</f>
        <v>0.58950000000000002</v>
      </c>
      <c r="E12" s="636">
        <f t="shared" ref="E12:K12" si="1">E9-E10-E11</f>
        <v>0.72000000000000008</v>
      </c>
      <c r="F12" s="636">
        <f t="shared" si="1"/>
        <v>0.82530000000000003</v>
      </c>
      <c r="G12" s="636">
        <f t="shared" si="1"/>
        <v>1.0809000000000002</v>
      </c>
      <c r="H12" s="636">
        <f t="shared" si="1"/>
        <v>1.1791938127499024</v>
      </c>
      <c r="I12" s="636">
        <f t="shared" si="1"/>
        <v>1.1661897937164472</v>
      </c>
      <c r="J12" s="636">
        <f t="shared" si="1"/>
        <v>1.1661897937164472</v>
      </c>
      <c r="K12" s="636">
        <f t="shared" si="1"/>
        <v>1.1661897937164472</v>
      </c>
      <c r="L12" s="2"/>
    </row>
    <row r="13" spans="1:12" s="12" customFormat="1">
      <c r="B13" s="52"/>
      <c r="C13" s="142"/>
      <c r="D13" s="142"/>
      <c r="E13" s="142"/>
      <c r="F13" s="142"/>
      <c r="G13" s="142"/>
      <c r="H13" s="142"/>
      <c r="I13" s="142"/>
      <c r="J13" s="142"/>
      <c r="K13" s="53"/>
      <c r="L13" s="2"/>
    </row>
    <row r="14" spans="1:12" s="2" customFormat="1">
      <c r="B14" s="52" t="s">
        <v>156</v>
      </c>
      <c r="C14" s="143"/>
      <c r="D14" s="57"/>
      <c r="E14" s="57"/>
      <c r="F14" s="57"/>
      <c r="G14" s="57"/>
      <c r="H14" s="57"/>
      <c r="I14" s="57"/>
      <c r="J14" s="57"/>
      <c r="K14" s="57"/>
    </row>
    <row r="15" spans="1:12" s="2" customFormat="1" ht="12.95" customHeight="1">
      <c r="B15" s="231" t="s">
        <v>505</v>
      </c>
      <c r="C15" s="158" t="s">
        <v>128</v>
      </c>
      <c r="D15" s="619"/>
      <c r="E15" s="620"/>
      <c r="F15" s="620"/>
      <c r="G15" s="620"/>
      <c r="H15" s="620"/>
      <c r="I15" s="620"/>
      <c r="J15" s="620"/>
      <c r="K15" s="620"/>
    </row>
    <row r="16" spans="1:12" s="2" customFormat="1">
      <c r="B16" s="231" t="s">
        <v>504</v>
      </c>
      <c r="C16" s="158" t="s">
        <v>128</v>
      </c>
      <c r="D16" s="621"/>
      <c r="E16" s="622"/>
      <c r="F16" s="622"/>
      <c r="G16" s="622"/>
      <c r="H16" s="622"/>
      <c r="I16" s="622"/>
      <c r="J16" s="622"/>
      <c r="K16" s="622"/>
    </row>
    <row r="17" spans="2:12" s="12" customFormat="1">
      <c r="B17" s="52" t="s">
        <v>133</v>
      </c>
      <c r="C17" s="158" t="s">
        <v>128</v>
      </c>
      <c r="D17" s="635">
        <f>D15-D16</f>
        <v>0</v>
      </c>
      <c r="E17" s="635">
        <f t="shared" ref="E17:K17" si="2">E15-E16</f>
        <v>0</v>
      </c>
      <c r="F17" s="635">
        <f t="shared" si="2"/>
        <v>0</v>
      </c>
      <c r="G17" s="635">
        <f t="shared" si="2"/>
        <v>0</v>
      </c>
      <c r="H17" s="635">
        <f t="shared" si="2"/>
        <v>0</v>
      </c>
      <c r="I17" s="635">
        <f t="shared" si="2"/>
        <v>0</v>
      </c>
      <c r="J17" s="635">
        <f t="shared" si="2"/>
        <v>0</v>
      </c>
      <c r="K17" s="635">
        <f t="shared" si="2"/>
        <v>0</v>
      </c>
      <c r="L17" s="2"/>
    </row>
    <row r="18" spans="2:12" s="12" customFormat="1">
      <c r="B18" s="52"/>
      <c r="C18" s="142"/>
      <c r="D18" s="53"/>
      <c r="E18" s="53"/>
      <c r="F18" s="53"/>
      <c r="G18" s="53"/>
      <c r="H18" s="53"/>
      <c r="I18" s="53"/>
      <c r="J18" s="53"/>
      <c r="K18" s="53"/>
      <c r="L18" s="2"/>
    </row>
    <row r="19" spans="2:12" s="2" customFormat="1">
      <c r="B19" s="52" t="s">
        <v>157</v>
      </c>
      <c r="C19" s="143"/>
      <c r="D19" s="57"/>
      <c r="E19" s="57"/>
      <c r="F19" s="57"/>
      <c r="G19" s="57"/>
      <c r="H19" s="57"/>
      <c r="I19" s="57"/>
      <c r="J19" s="57"/>
      <c r="K19" s="57"/>
    </row>
    <row r="20" spans="2:12" s="2" customFormat="1">
      <c r="B20" s="231" t="s">
        <v>434</v>
      </c>
      <c r="C20" s="158" t="s">
        <v>128</v>
      </c>
      <c r="D20" s="619">
        <v>0</v>
      </c>
      <c r="E20" s="620">
        <v>6.4921100000000003</v>
      </c>
      <c r="F20" s="620">
        <v>8.3356092000000004</v>
      </c>
      <c r="G20" s="620">
        <v>15.559482790000001</v>
      </c>
      <c r="H20" s="620">
        <v>0</v>
      </c>
      <c r="I20" s="620">
        <v>0</v>
      </c>
      <c r="J20" s="620">
        <v>0</v>
      </c>
      <c r="K20" s="620">
        <v>0</v>
      </c>
    </row>
    <row r="21" spans="2:12" s="2" customFormat="1">
      <c r="B21" s="231" t="s">
        <v>502</v>
      </c>
      <c r="C21" s="158" t="s">
        <v>128</v>
      </c>
      <c r="D21" s="657">
        <v>0</v>
      </c>
      <c r="E21" s="658">
        <v>0.73698200000000003</v>
      </c>
      <c r="F21" s="658">
        <v>0.94532797000000002</v>
      </c>
      <c r="G21" s="658">
        <v>1.76437559</v>
      </c>
      <c r="H21" s="658">
        <v>0</v>
      </c>
      <c r="I21" s="658">
        <v>0</v>
      </c>
      <c r="J21" s="658">
        <v>0</v>
      </c>
      <c r="K21" s="658">
        <v>0</v>
      </c>
    </row>
    <row r="22" spans="2:12" s="2" customFormat="1">
      <c r="B22" s="36"/>
      <c r="C22" s="144"/>
      <c r="D22" s="36"/>
      <c r="E22" s="36"/>
      <c r="F22" s="36"/>
      <c r="G22" s="36"/>
      <c r="H22" s="36"/>
      <c r="I22" s="36"/>
      <c r="J22" s="36"/>
      <c r="K22" s="36"/>
    </row>
    <row r="23" spans="2:12" s="2" customFormat="1">
      <c r="B23" s="231" t="s">
        <v>488</v>
      </c>
      <c r="C23" s="158" t="s">
        <v>128</v>
      </c>
      <c r="D23" s="663">
        <v>0</v>
      </c>
      <c r="E23" s="664">
        <v>0</v>
      </c>
      <c r="F23" s="664">
        <v>0</v>
      </c>
      <c r="G23" s="664">
        <v>0</v>
      </c>
      <c r="H23" s="664">
        <v>0</v>
      </c>
      <c r="I23" s="664">
        <v>0.73699999999999999</v>
      </c>
      <c r="J23" s="664">
        <v>0</v>
      </c>
      <c r="K23" s="665">
        <v>0</v>
      </c>
    </row>
    <row r="24" spans="2:12" s="2" customFormat="1">
      <c r="B24" s="36"/>
      <c r="C24" s="144"/>
      <c r="D24" s="36"/>
      <c r="E24" s="36"/>
      <c r="F24" s="36"/>
      <c r="G24" s="36"/>
      <c r="H24" s="36"/>
      <c r="I24" s="36"/>
      <c r="J24" s="36"/>
      <c r="K24" s="36"/>
    </row>
    <row r="25" spans="2:12" s="2" customFormat="1">
      <c r="B25" s="80"/>
      <c r="C25" s="156"/>
      <c r="D25" s="80"/>
      <c r="E25" s="80"/>
      <c r="F25" s="80"/>
      <c r="G25" s="80"/>
      <c r="H25" s="80"/>
      <c r="I25" s="80"/>
      <c r="J25" s="80"/>
      <c r="K25" s="80"/>
      <c r="L25" s="80"/>
    </row>
    <row r="26" spans="2:12" s="2" customFormat="1">
      <c r="B26" s="36"/>
      <c r="C26" s="144"/>
      <c r="D26" s="36"/>
      <c r="E26" s="36"/>
      <c r="F26" s="36"/>
      <c r="G26" s="36"/>
      <c r="H26" s="36"/>
      <c r="I26" s="36"/>
      <c r="J26" s="36"/>
      <c r="K26" s="36"/>
    </row>
    <row r="27" spans="2:12" s="2" customFormat="1">
      <c r="B27" s="52" t="s">
        <v>380</v>
      </c>
      <c r="C27" s="144"/>
      <c r="D27" s="36"/>
      <c r="E27" s="36"/>
      <c r="F27" s="36"/>
      <c r="G27" s="36"/>
      <c r="H27" s="36"/>
      <c r="I27" s="36"/>
      <c r="J27" s="36"/>
      <c r="K27" s="36"/>
    </row>
    <row r="28" spans="2:12" s="2" customFormat="1">
      <c r="B28" s="231" t="s">
        <v>486</v>
      </c>
      <c r="C28" s="161" t="str">
        <f>'RFPR cover'!$C$14</f>
        <v>£m 09/10</v>
      </c>
      <c r="D28" s="671">
        <f>(SUM(D10,D11,D21)-D23)/Data!C34</f>
        <v>5.6141779186677947E-2</v>
      </c>
      <c r="E28" s="671">
        <f>(SUM(E10,E11,E21)-E23)/Data!D34</f>
        <v>0.68679555686551064</v>
      </c>
      <c r="F28" s="671">
        <f>(SUM(F10,F11,F21)-F23)/Data!E34</f>
        <v>0.86248246754649571</v>
      </c>
      <c r="G28" s="671">
        <f>(SUM(G10,G11,G21)-G23)/Data!F34</f>
        <v>1.5344147922485583</v>
      </c>
      <c r="H28" s="671">
        <f>(SUM(H10,H11,H21)-H23)/Data!G34</f>
        <v>0.10283485198102957</v>
      </c>
      <c r="I28" s="671">
        <f>(SUM(I10,I11,I21)-I23)/Data!H34</f>
        <v>-0.46261282882515914</v>
      </c>
      <c r="J28" s="671">
        <f>(SUM(J10,J11,J21)-J23)/Data!I34</f>
        <v>9.6161170640234467E-2</v>
      </c>
      <c r="K28" s="940">
        <f>(SUM(K10,K11,K21)-K23)/Data!J34</f>
        <v>9.356474885938651E-2</v>
      </c>
      <c r="L28" s="36"/>
    </row>
  </sheetData>
  <conditionalFormatting sqref="D6:K6">
    <cfRule type="expression" dxfId="33" priority="30">
      <formula>AND(D$5="Actuals",E$5="Forecast")</formula>
    </cfRule>
  </conditionalFormatting>
  <conditionalFormatting sqref="D5:K5">
    <cfRule type="expression" dxfId="32" priority="23">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8"/>
  <sheetViews>
    <sheetView showGridLines="0" zoomScale="85" zoomScaleNormal="85" workbookViewId="0">
      <pane ySplit="6" topLeftCell="A77" activePane="bottomLeft" state="frozen"/>
      <selection activeCell="B75" sqref="A1:XFD1048576"/>
      <selection pane="bottomLeft" activeCell="D94" sqref="D94"/>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4" t="s">
        <v>265</v>
      </c>
      <c r="B1" s="265"/>
      <c r="C1" s="265"/>
      <c r="D1" s="265"/>
      <c r="E1" s="265"/>
      <c r="F1" s="265"/>
      <c r="G1" s="265"/>
      <c r="H1" s="265"/>
      <c r="I1" s="266"/>
      <c r="J1" s="266"/>
      <c r="K1" s="267"/>
      <c r="L1" s="267"/>
      <c r="M1" s="267"/>
      <c r="N1" s="268"/>
    </row>
    <row r="2" spans="1:14" s="32" customFormat="1" ht="20.25">
      <c r="A2" s="124" t="str">
        <f>'RFPR cover'!C5</f>
        <v>SPT</v>
      </c>
      <c r="B2" s="30"/>
      <c r="C2" s="30"/>
      <c r="D2" s="30"/>
      <c r="E2" s="30"/>
      <c r="F2" s="30"/>
      <c r="G2" s="30"/>
      <c r="H2" s="30"/>
      <c r="I2" s="27"/>
      <c r="J2" s="27"/>
      <c r="K2" s="27"/>
      <c r="L2" s="27"/>
      <c r="M2" s="27"/>
      <c r="N2" s="125"/>
    </row>
    <row r="3" spans="1:14" s="32" customFormat="1" ht="23.25">
      <c r="A3" s="269">
        <f>'RFPR cover'!C7</f>
        <v>2019</v>
      </c>
      <c r="B3" s="936" t="str">
        <f>'R1 - RoRE'!B3</f>
        <v/>
      </c>
      <c r="C3" s="270"/>
      <c r="D3" s="270"/>
      <c r="E3" s="270"/>
      <c r="F3" s="270"/>
      <c r="G3" s="270"/>
      <c r="H3" s="270"/>
      <c r="I3" s="263"/>
      <c r="J3" s="263"/>
      <c r="K3" s="263"/>
      <c r="L3" s="263"/>
      <c r="M3" s="263"/>
      <c r="N3" s="271"/>
    </row>
    <row r="4" spans="1:14" s="32" customFormat="1" ht="12.75" customHeight="1">
      <c r="A4" s="40"/>
      <c r="B4" s="40"/>
      <c r="C4" s="40"/>
      <c r="D4" s="40"/>
      <c r="E4" s="40"/>
      <c r="F4" s="40"/>
      <c r="G4" s="40"/>
      <c r="H4" s="40"/>
      <c r="I4" s="35"/>
      <c r="J4" s="35"/>
      <c r="K4" s="35"/>
      <c r="L4" s="34"/>
    </row>
    <row r="5" spans="1:14" s="2" customFormat="1" ht="12.75" customHeight="1">
      <c r="B5" s="3"/>
      <c r="C5" s="3"/>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4" s="2" customFormat="1" ht="25.5">
      <c r="D6" s="117">
        <f>'RFPR cover'!$C$13</f>
        <v>2014</v>
      </c>
      <c r="E6" s="118">
        <f>D6+1</f>
        <v>2015</v>
      </c>
      <c r="F6" s="118">
        <f t="shared" ref="F6:K6" si="0">E6+1</f>
        <v>2016</v>
      </c>
      <c r="G6" s="118">
        <f t="shared" si="0"/>
        <v>2017</v>
      </c>
      <c r="H6" s="118">
        <f t="shared" si="0"/>
        <v>2018</v>
      </c>
      <c r="I6" s="118">
        <f t="shared" si="0"/>
        <v>2019</v>
      </c>
      <c r="J6" s="118">
        <f t="shared" si="0"/>
        <v>2020</v>
      </c>
      <c r="K6" s="202">
        <f t="shared" si="0"/>
        <v>2021</v>
      </c>
      <c r="L6" s="101" t="str">
        <f>"Cumulative to "&amp;'RFPR cover'!$C$7</f>
        <v>Cumulative to 2019</v>
      </c>
      <c r="M6" s="292" t="s">
        <v>109</v>
      </c>
    </row>
    <row r="7" spans="1:14" s="2" customFormat="1" ht="12.75" customHeight="1"/>
    <row r="8" spans="1:14">
      <c r="B8" s="502" t="s">
        <v>304</v>
      </c>
      <c r="C8" s="158" t="s">
        <v>128</v>
      </c>
      <c r="D8" s="363">
        <v>20.700000000000003</v>
      </c>
      <c r="E8" s="403">
        <v>26.700000000000003</v>
      </c>
      <c r="F8" s="403">
        <v>32.500000000000007</v>
      </c>
      <c r="G8" s="403">
        <v>31.799999999999997</v>
      </c>
      <c r="H8" s="403">
        <v>31.199999999999996</v>
      </c>
      <c r="I8" s="403">
        <v>33.4</v>
      </c>
      <c r="J8" s="403">
        <v>33.671599999999998</v>
      </c>
      <c r="K8" s="404">
        <v>32.899600000000007</v>
      </c>
      <c r="L8" s="36"/>
      <c r="M8" s="36"/>
    </row>
    <row r="9" spans="1:14">
      <c r="B9" s="14"/>
      <c r="C9" s="158"/>
      <c r="D9" s="235"/>
      <c r="E9" s="235"/>
      <c r="F9" s="235"/>
      <c r="G9" s="235"/>
      <c r="H9" s="235"/>
      <c r="I9" s="235"/>
      <c r="J9" s="235"/>
      <c r="K9" s="235"/>
      <c r="L9" s="36"/>
      <c r="M9" s="36"/>
    </row>
    <row r="10" spans="1:14">
      <c r="B10" s="14" t="s">
        <v>464</v>
      </c>
      <c r="C10" s="16"/>
      <c r="D10" s="236"/>
      <c r="E10" s="236"/>
      <c r="F10" s="236"/>
      <c r="G10" s="236"/>
      <c r="H10" s="236"/>
      <c r="I10" s="236"/>
      <c r="J10" s="236"/>
      <c r="K10" s="236"/>
      <c r="L10" s="36"/>
      <c r="M10" s="36"/>
    </row>
    <row r="11" spans="1:14">
      <c r="B11" s="387" t="s">
        <v>12</v>
      </c>
      <c r="C11" s="158" t="s">
        <v>128</v>
      </c>
      <c r="D11" s="395">
        <v>0</v>
      </c>
      <c r="E11" s="396">
        <v>0</v>
      </c>
      <c r="F11" s="396">
        <v>0</v>
      </c>
      <c r="G11" s="396">
        <v>0</v>
      </c>
      <c r="H11" s="396">
        <v>0</v>
      </c>
      <c r="I11" s="396">
        <v>0</v>
      </c>
      <c r="J11" s="396">
        <v>0</v>
      </c>
      <c r="K11" s="400">
        <v>0</v>
      </c>
      <c r="L11" s="36"/>
      <c r="M11" s="36"/>
    </row>
    <row r="12" spans="1:14">
      <c r="B12" s="387" t="s">
        <v>13</v>
      </c>
      <c r="C12" s="158" t="s">
        <v>128</v>
      </c>
      <c r="D12" s="362">
        <v>0</v>
      </c>
      <c r="E12" s="397">
        <v>0</v>
      </c>
      <c r="F12" s="397">
        <v>0</v>
      </c>
      <c r="G12" s="397">
        <v>0</v>
      </c>
      <c r="H12" s="397">
        <v>0</v>
      </c>
      <c r="I12" s="397">
        <v>0</v>
      </c>
      <c r="J12" s="397">
        <v>0</v>
      </c>
      <c r="K12" s="401">
        <v>0</v>
      </c>
      <c r="L12" s="36"/>
      <c r="M12" s="36"/>
    </row>
    <row r="13" spans="1:14">
      <c r="B13" s="387" t="s">
        <v>14</v>
      </c>
      <c r="C13" s="158" t="s">
        <v>128</v>
      </c>
      <c r="D13" s="362">
        <v>0</v>
      </c>
      <c r="E13" s="397">
        <v>0</v>
      </c>
      <c r="F13" s="397">
        <v>0</v>
      </c>
      <c r="G13" s="397">
        <v>0</v>
      </c>
      <c r="H13" s="397">
        <v>0</v>
      </c>
      <c r="I13" s="397">
        <v>0</v>
      </c>
      <c r="J13" s="397">
        <v>0</v>
      </c>
      <c r="K13" s="401">
        <v>0</v>
      </c>
      <c r="L13" s="36"/>
      <c r="M13" s="36"/>
    </row>
    <row r="14" spans="1:14">
      <c r="B14" s="387" t="s">
        <v>15</v>
      </c>
      <c r="C14" s="158" t="s">
        <v>128</v>
      </c>
      <c r="D14" s="362">
        <v>0</v>
      </c>
      <c r="E14" s="397">
        <v>0</v>
      </c>
      <c r="F14" s="397">
        <v>0</v>
      </c>
      <c r="G14" s="397">
        <v>0</v>
      </c>
      <c r="H14" s="397">
        <v>0</v>
      </c>
      <c r="I14" s="397">
        <v>0</v>
      </c>
      <c r="J14" s="397">
        <v>0</v>
      </c>
      <c r="K14" s="401">
        <v>0</v>
      </c>
      <c r="L14" s="36"/>
      <c r="M14" s="36"/>
    </row>
    <row r="15" spans="1:14">
      <c r="B15" s="387" t="s">
        <v>16</v>
      </c>
      <c r="C15" s="158" t="s">
        <v>128</v>
      </c>
      <c r="D15" s="362">
        <v>0</v>
      </c>
      <c r="E15" s="397">
        <v>0</v>
      </c>
      <c r="F15" s="397">
        <v>0</v>
      </c>
      <c r="G15" s="397">
        <v>0</v>
      </c>
      <c r="H15" s="397">
        <v>0</v>
      </c>
      <c r="I15" s="397">
        <v>0</v>
      </c>
      <c r="J15" s="397">
        <v>0</v>
      </c>
      <c r="K15" s="401">
        <v>0</v>
      </c>
      <c r="L15" s="36"/>
      <c r="M15" s="36"/>
    </row>
    <row r="16" spans="1:14">
      <c r="B16" s="387" t="s">
        <v>17</v>
      </c>
      <c r="C16" s="158" t="s">
        <v>128</v>
      </c>
      <c r="D16" s="362">
        <v>0</v>
      </c>
      <c r="E16" s="397">
        <v>0</v>
      </c>
      <c r="F16" s="397">
        <v>0</v>
      </c>
      <c r="G16" s="397">
        <v>0</v>
      </c>
      <c r="H16" s="397">
        <v>0</v>
      </c>
      <c r="I16" s="397">
        <v>0</v>
      </c>
      <c r="J16" s="397">
        <v>0</v>
      </c>
      <c r="K16" s="401">
        <v>0</v>
      </c>
      <c r="L16" s="36"/>
    </row>
    <row r="17" spans="2:12">
      <c r="B17" s="387" t="s">
        <v>283</v>
      </c>
      <c r="C17" s="158" t="s">
        <v>128</v>
      </c>
      <c r="D17" s="362">
        <v>0</v>
      </c>
      <c r="E17" s="397">
        <v>0</v>
      </c>
      <c r="F17" s="397">
        <v>0</v>
      </c>
      <c r="G17" s="397">
        <v>0</v>
      </c>
      <c r="H17" s="397">
        <v>0</v>
      </c>
      <c r="I17" s="397">
        <v>0</v>
      </c>
      <c r="J17" s="397">
        <v>0</v>
      </c>
      <c r="K17" s="401">
        <v>0</v>
      </c>
      <c r="L17" s="36"/>
    </row>
    <row r="18" spans="2:12" ht="12.75" customHeight="1">
      <c r="B18" s="387" t="s">
        <v>18</v>
      </c>
      <c r="C18" s="158" t="s">
        <v>128</v>
      </c>
      <c r="D18" s="362">
        <v>0</v>
      </c>
      <c r="E18" s="397">
        <v>0</v>
      </c>
      <c r="F18" s="397">
        <v>0</v>
      </c>
      <c r="G18" s="397">
        <v>0</v>
      </c>
      <c r="H18" s="397">
        <v>0</v>
      </c>
      <c r="I18" s="397">
        <v>0</v>
      </c>
      <c r="J18" s="397">
        <v>0</v>
      </c>
      <c r="K18" s="401">
        <v>0</v>
      </c>
      <c r="L18" s="36"/>
    </row>
    <row r="19" spans="2:12">
      <c r="B19" s="387" t="s">
        <v>562</v>
      </c>
      <c r="C19" s="158" t="s">
        <v>128</v>
      </c>
      <c r="D19" s="362">
        <v>2</v>
      </c>
      <c r="E19" s="397">
        <v>3.2</v>
      </c>
      <c r="F19" s="397">
        <v>4.4000000000000004</v>
      </c>
      <c r="G19" s="397">
        <v>5.0999999999999996</v>
      </c>
      <c r="H19" s="397">
        <v>4.0999999999999996</v>
      </c>
      <c r="I19" s="397">
        <v>1.7</v>
      </c>
      <c r="J19" s="397">
        <v>0</v>
      </c>
      <c r="K19" s="401">
        <v>0</v>
      </c>
      <c r="L19" s="36"/>
    </row>
    <row r="20" spans="2:12">
      <c r="B20" s="387" t="s">
        <v>563</v>
      </c>
      <c r="C20" s="158" t="s">
        <v>128</v>
      </c>
      <c r="D20" s="362">
        <v>0</v>
      </c>
      <c r="E20" s="397">
        <v>0</v>
      </c>
      <c r="F20" s="397">
        <v>0</v>
      </c>
      <c r="G20" s="397">
        <v>0</v>
      </c>
      <c r="H20" s="397">
        <v>0</v>
      </c>
      <c r="I20" s="397">
        <v>0</v>
      </c>
      <c r="J20" s="397">
        <v>0</v>
      </c>
      <c r="K20" s="401">
        <v>0</v>
      </c>
      <c r="L20" s="36"/>
    </row>
    <row r="21" spans="2:12">
      <c r="B21" s="387" t="s">
        <v>564</v>
      </c>
      <c r="C21" s="158" t="s">
        <v>128</v>
      </c>
      <c r="D21" s="362">
        <v>0</v>
      </c>
      <c r="E21" s="397">
        <v>0</v>
      </c>
      <c r="F21" s="397">
        <v>0</v>
      </c>
      <c r="G21" s="397">
        <v>0</v>
      </c>
      <c r="H21" s="397">
        <v>0</v>
      </c>
      <c r="I21" s="397">
        <v>0</v>
      </c>
      <c r="J21" s="397">
        <v>0</v>
      </c>
      <c r="K21" s="401">
        <v>0</v>
      </c>
      <c r="L21" s="36"/>
    </row>
    <row r="22" spans="2:12">
      <c r="B22" s="387" t="s">
        <v>565</v>
      </c>
      <c r="C22" s="158" t="s">
        <v>128</v>
      </c>
      <c r="D22" s="362">
        <v>0</v>
      </c>
      <c r="E22" s="397">
        <v>0</v>
      </c>
      <c r="F22" s="397">
        <v>0</v>
      </c>
      <c r="G22" s="397">
        <v>0</v>
      </c>
      <c r="H22" s="397">
        <v>0</v>
      </c>
      <c r="I22" s="397">
        <v>0</v>
      </c>
      <c r="J22" s="397">
        <v>0</v>
      </c>
      <c r="K22" s="401">
        <v>0</v>
      </c>
      <c r="L22" s="36"/>
    </row>
    <row r="23" spans="2:12">
      <c r="B23" s="387" t="s">
        <v>566</v>
      </c>
      <c r="C23" s="158" t="s">
        <v>128</v>
      </c>
      <c r="D23" s="362">
        <v>0</v>
      </c>
      <c r="E23" s="397">
        <v>0</v>
      </c>
      <c r="F23" s="397">
        <v>0</v>
      </c>
      <c r="G23" s="397">
        <v>0</v>
      </c>
      <c r="H23" s="397">
        <v>0</v>
      </c>
      <c r="I23" s="397">
        <v>0</v>
      </c>
      <c r="J23" s="397">
        <v>0</v>
      </c>
      <c r="K23" s="401">
        <v>0</v>
      </c>
      <c r="L23" s="36"/>
    </row>
    <row r="24" spans="2:12">
      <c r="B24" s="387" t="s">
        <v>567</v>
      </c>
      <c r="C24" s="158" t="s">
        <v>128</v>
      </c>
      <c r="D24" s="362">
        <v>0</v>
      </c>
      <c r="E24" s="397">
        <v>0</v>
      </c>
      <c r="F24" s="397">
        <v>0</v>
      </c>
      <c r="G24" s="397">
        <v>0</v>
      </c>
      <c r="H24" s="397">
        <v>0</v>
      </c>
      <c r="I24" s="397">
        <v>0</v>
      </c>
      <c r="J24" s="397">
        <v>0</v>
      </c>
      <c r="K24" s="401">
        <v>0</v>
      </c>
      <c r="L24" s="36"/>
    </row>
    <row r="25" spans="2:12">
      <c r="B25" s="387" t="s">
        <v>568</v>
      </c>
      <c r="C25" s="158" t="s">
        <v>128</v>
      </c>
      <c r="D25" s="362">
        <v>0</v>
      </c>
      <c r="E25" s="397">
        <v>0</v>
      </c>
      <c r="F25" s="397">
        <v>0</v>
      </c>
      <c r="G25" s="397">
        <v>0</v>
      </c>
      <c r="H25" s="397">
        <v>0</v>
      </c>
      <c r="I25" s="397">
        <v>0</v>
      </c>
      <c r="J25" s="397">
        <v>0</v>
      </c>
      <c r="K25" s="401">
        <v>0</v>
      </c>
      <c r="L25" s="36"/>
    </row>
    <row r="26" spans="2:12">
      <c r="B26" s="387" t="s">
        <v>569</v>
      </c>
      <c r="C26" s="158" t="s">
        <v>128</v>
      </c>
      <c r="D26" s="362">
        <v>0</v>
      </c>
      <c r="E26" s="397">
        <v>0</v>
      </c>
      <c r="F26" s="397">
        <v>0</v>
      </c>
      <c r="G26" s="397">
        <v>0</v>
      </c>
      <c r="H26" s="397">
        <v>0</v>
      </c>
      <c r="I26" s="397">
        <v>0</v>
      </c>
      <c r="J26" s="397">
        <v>0</v>
      </c>
      <c r="K26" s="401">
        <v>0</v>
      </c>
      <c r="L26" s="36"/>
    </row>
    <row r="27" spans="2:12">
      <c r="B27" s="387" t="s">
        <v>570</v>
      </c>
      <c r="C27" s="158" t="s">
        <v>128</v>
      </c>
      <c r="D27" s="398">
        <v>0</v>
      </c>
      <c r="E27" s="399">
        <v>0</v>
      </c>
      <c r="F27" s="399">
        <v>0</v>
      </c>
      <c r="G27" s="399">
        <v>0</v>
      </c>
      <c r="H27" s="399">
        <v>0</v>
      </c>
      <c r="I27" s="399">
        <v>0</v>
      </c>
      <c r="J27" s="399">
        <v>0</v>
      </c>
      <c r="K27" s="402">
        <v>0</v>
      </c>
      <c r="L27" s="36"/>
    </row>
    <row r="28" spans="2:12">
      <c r="B28" s="13" t="s">
        <v>19</v>
      </c>
      <c r="C28" s="158" t="s">
        <v>128</v>
      </c>
      <c r="D28" s="148">
        <f t="shared" ref="D28:K28" si="1">SUM(D8,D11:D27)</f>
        <v>22.700000000000003</v>
      </c>
      <c r="E28" s="149">
        <f t="shared" si="1"/>
        <v>29.900000000000002</v>
      </c>
      <c r="F28" s="149">
        <f t="shared" si="1"/>
        <v>36.900000000000006</v>
      </c>
      <c r="G28" s="149">
        <f t="shared" si="1"/>
        <v>36.9</v>
      </c>
      <c r="H28" s="149">
        <f t="shared" si="1"/>
        <v>35.299999999999997</v>
      </c>
      <c r="I28" s="149">
        <f t="shared" si="1"/>
        <v>35.1</v>
      </c>
      <c r="J28" s="149">
        <f t="shared" si="1"/>
        <v>33.671599999999998</v>
      </c>
      <c r="K28" s="150">
        <f t="shared" si="1"/>
        <v>32.899600000000007</v>
      </c>
      <c r="L28" s="36"/>
    </row>
    <row r="29" spans="2:12">
      <c r="B29" s="388" t="s">
        <v>306</v>
      </c>
      <c r="C29" s="158" t="s">
        <v>128</v>
      </c>
      <c r="D29" s="405"/>
      <c r="E29" s="406"/>
      <c r="F29" s="406"/>
      <c r="G29" s="705"/>
      <c r="H29" s="705"/>
      <c r="I29" s="705"/>
      <c r="J29" s="705">
        <v>2.6616085994444258</v>
      </c>
      <c r="K29" s="706">
        <v>8.4786831091388315</v>
      </c>
      <c r="L29" s="36"/>
    </row>
    <row r="30" spans="2:12">
      <c r="B30" s="361" t="s">
        <v>305</v>
      </c>
      <c r="C30" s="158" t="s">
        <v>128</v>
      </c>
      <c r="D30" s="148">
        <f>SUM(D28:D29)</f>
        <v>22.700000000000003</v>
      </c>
      <c r="E30" s="149">
        <f t="shared" ref="E30:K30" si="2">SUM(E28:E29)</f>
        <v>29.900000000000002</v>
      </c>
      <c r="F30" s="149">
        <f t="shared" si="2"/>
        <v>36.900000000000006</v>
      </c>
      <c r="G30" s="149">
        <f t="shared" si="2"/>
        <v>36.9</v>
      </c>
      <c r="H30" s="149">
        <f t="shared" si="2"/>
        <v>35.299999999999997</v>
      </c>
      <c r="I30" s="149">
        <f t="shared" si="2"/>
        <v>35.1</v>
      </c>
      <c r="J30" s="149">
        <f t="shared" si="2"/>
        <v>36.333208599444426</v>
      </c>
      <c r="K30" s="150">
        <f t="shared" si="2"/>
        <v>41.378283109138835</v>
      </c>
    </row>
    <row r="31" spans="2:12">
      <c r="B31" s="221" t="s">
        <v>21</v>
      </c>
      <c r="C31" s="158" t="s">
        <v>128</v>
      </c>
      <c r="D31" s="611">
        <v>-0.4</v>
      </c>
      <c r="E31" s="612">
        <v>-0.2</v>
      </c>
      <c r="F31" s="612">
        <v>-0.3</v>
      </c>
      <c r="G31" s="612">
        <v>-0.1</v>
      </c>
      <c r="H31" s="612">
        <v>0</v>
      </c>
      <c r="I31" s="612">
        <v>0</v>
      </c>
      <c r="J31" s="612">
        <v>0</v>
      </c>
      <c r="K31" s="707">
        <v>0</v>
      </c>
    </row>
    <row r="32" spans="2:12">
      <c r="B32" s="221" t="s">
        <v>458</v>
      </c>
      <c r="C32" s="158" t="s">
        <v>128</v>
      </c>
      <c r="D32" s="615">
        <v>23.079149830000002</v>
      </c>
      <c r="E32" s="616">
        <v>30.11886423</v>
      </c>
      <c r="F32" s="616">
        <v>37.141404379999997</v>
      </c>
      <c r="G32" s="616">
        <v>36.957741260000006</v>
      </c>
      <c r="H32" s="616">
        <v>35.309222230000003</v>
      </c>
      <c r="I32" s="616">
        <v>35.1</v>
      </c>
      <c r="J32" s="616">
        <v>36.333208599444426</v>
      </c>
      <c r="K32" s="708">
        <v>41.378283109138835</v>
      </c>
    </row>
    <row r="33" spans="2:14">
      <c r="B33" s="221"/>
      <c r="D33" s="232" t="str">
        <f>IF(ABS(D30-SUM(D31:D32))&lt;'RFPR cover'!$F$14,"OK","ERROR")</f>
        <v>OK</v>
      </c>
      <c r="E33" s="233" t="str">
        <f>IF(ABS(E30-SUM(E31:E32))&lt;'RFPR cover'!$F$14,"OK","ERROR")</f>
        <v>OK</v>
      </c>
      <c r="F33" s="233" t="str">
        <f>IF(ABS(F30-SUM(F31:F32))&lt;'RFPR cover'!$F$14,"OK","ERROR")</f>
        <v>OK</v>
      </c>
      <c r="G33" s="233" t="str">
        <f>IF(ABS(G30-SUM(G31:G32))&lt;'RFPR cover'!$F$14,"OK","ERROR")</f>
        <v>OK</v>
      </c>
      <c r="H33" s="233" t="str">
        <f>IF(ABS(H30-SUM(H31:H32))&lt;'RFPR cover'!$F$14,"OK","ERROR")</f>
        <v>OK</v>
      </c>
      <c r="I33" s="233" t="str">
        <f>IF(ABS(I30-SUM(I31:I32))&lt;'RFPR cover'!$F$14,"OK","ERROR")</f>
        <v>OK</v>
      </c>
      <c r="J33" s="233" t="str">
        <f>IF(ABS(J30-SUM(J31:J32))&lt;'RFPR cover'!$F$14,"OK","ERROR")</f>
        <v>OK</v>
      </c>
      <c r="K33" s="234" t="str">
        <f>IF(ABS(K30-SUM(K31:K32))&lt;'RFPR cover'!$F$14,"OK","ERROR")</f>
        <v>OK</v>
      </c>
    </row>
    <row r="34" spans="2:14">
      <c r="D34" s="23"/>
      <c r="E34" s="23"/>
      <c r="F34" s="23"/>
      <c r="G34" s="23"/>
      <c r="H34" s="23"/>
      <c r="I34" s="23"/>
      <c r="J34" s="23"/>
      <c r="K34" s="23"/>
    </row>
    <row r="35" spans="2:14">
      <c r="B35" s="221" t="s">
        <v>520</v>
      </c>
      <c r="C35" s="158" t="s">
        <v>128</v>
      </c>
      <c r="D35" s="741">
        <v>0</v>
      </c>
      <c r="E35" s="742">
        <v>0</v>
      </c>
      <c r="F35" s="742">
        <v>0</v>
      </c>
      <c r="G35" s="742">
        <v>0</v>
      </c>
      <c r="H35" s="742">
        <v>0</v>
      </c>
      <c r="I35" s="742">
        <v>0</v>
      </c>
      <c r="J35" s="742">
        <v>0</v>
      </c>
      <c r="K35" s="743">
        <v>0</v>
      </c>
    </row>
    <row r="36" spans="2:14">
      <c r="D36" s="23"/>
      <c r="E36" s="23"/>
      <c r="F36" s="23"/>
      <c r="G36" s="23"/>
      <c r="H36" s="23"/>
      <c r="I36" s="23"/>
      <c r="J36" s="23"/>
      <c r="K36" s="23"/>
    </row>
    <row r="37" spans="2:14">
      <c r="B37" s="221" t="s">
        <v>82</v>
      </c>
      <c r="C37" s="158" t="s">
        <v>128</v>
      </c>
      <c r="D37" s="914">
        <v>18.158827015428642</v>
      </c>
      <c r="E37" s="914">
        <v>17.382376962893087</v>
      </c>
      <c r="F37" s="914">
        <v>11.990594427799547</v>
      </c>
      <c r="G37" s="914">
        <v>25.411940847926179</v>
      </c>
      <c r="H37" s="914">
        <v>45.871304039367324</v>
      </c>
      <c r="I37" s="914">
        <v>39.948491859094439</v>
      </c>
      <c r="J37" s="914">
        <v>36.693823435549774</v>
      </c>
      <c r="K37" s="914">
        <v>40.351209869424558</v>
      </c>
      <c r="N37" s="337"/>
    </row>
    <row r="38" spans="2:14" s="32" customFormat="1">
      <c r="B38" s="220"/>
      <c r="C38" s="853"/>
      <c r="D38" s="855"/>
      <c r="E38" s="855"/>
      <c r="F38" s="855"/>
      <c r="G38" s="855"/>
      <c r="H38" s="855"/>
      <c r="I38" s="855"/>
      <c r="J38" s="855"/>
      <c r="K38" s="855"/>
      <c r="L38"/>
      <c r="M38"/>
      <c r="N38" s="854"/>
    </row>
    <row r="39" spans="2:14">
      <c r="B39" s="221" t="s">
        <v>472</v>
      </c>
      <c r="C39" s="158" t="s">
        <v>128</v>
      </c>
      <c r="D39" s="102">
        <f t="shared" ref="D39:K39" si="3">D30-D37</f>
        <v>4.5411729845713609</v>
      </c>
      <c r="E39" s="102">
        <f t="shared" si="3"/>
        <v>12.517623037106915</v>
      </c>
      <c r="F39" s="102">
        <f t="shared" si="3"/>
        <v>24.909405572200459</v>
      </c>
      <c r="G39" s="102">
        <f t="shared" si="3"/>
        <v>11.48805915207382</v>
      </c>
      <c r="H39" s="102">
        <f t="shared" si="3"/>
        <v>-10.571304039367327</v>
      </c>
      <c r="I39" s="102">
        <f t="shared" si="3"/>
        <v>-4.8484918590944375</v>
      </c>
      <c r="J39" s="102">
        <f t="shared" si="3"/>
        <v>-0.3606148361053485</v>
      </c>
      <c r="K39" s="102">
        <f t="shared" si="3"/>
        <v>1.0270732397142766</v>
      </c>
    </row>
    <row r="40" spans="2:14">
      <c r="B40" s="221"/>
      <c r="C40" s="158"/>
      <c r="D40" s="158"/>
      <c r="E40" s="158"/>
      <c r="F40" s="158"/>
      <c r="G40" s="158"/>
      <c r="H40" s="158"/>
      <c r="I40" s="158"/>
      <c r="J40" s="158"/>
      <c r="K40" s="158"/>
      <c r="L40" s="158"/>
      <c r="N40" s="337"/>
    </row>
    <row r="41" spans="2:14">
      <c r="B41" s="883" t="s">
        <v>363</v>
      </c>
      <c r="C41" s="158" t="s">
        <v>127</v>
      </c>
      <c r="D41" s="528">
        <f>Data!C34</f>
        <v>1.1666890673736021</v>
      </c>
      <c r="E41" s="528">
        <f>Data!D34</f>
        <v>1.1895563269638081</v>
      </c>
      <c r="F41" s="528">
        <f>Data!E34</f>
        <v>1.2023757108362261</v>
      </c>
      <c r="G41" s="528">
        <f>Data!F34</f>
        <v>1.2281396135646323</v>
      </c>
      <c r="H41" s="528">
        <f>Data!G34</f>
        <v>1.2740965949380583</v>
      </c>
      <c r="I41" s="528">
        <f>Data!H34</f>
        <v>1.3130274787154661</v>
      </c>
      <c r="J41" s="528">
        <f>Data!I34</f>
        <v>1.3474944500317474</v>
      </c>
      <c r="K41" s="528">
        <f>Data!J34</f>
        <v>1.3848874210201281</v>
      </c>
      <c r="L41" s="158"/>
      <c r="N41" s="337"/>
    </row>
    <row r="42" spans="2:14">
      <c r="L42" s="161"/>
      <c r="M42" s="161"/>
      <c r="N42" s="161"/>
    </row>
    <row r="43" spans="2:14">
      <c r="B43" s="864" t="s">
        <v>418</v>
      </c>
      <c r="C43" s="162" t="str">
        <f>'RFPR cover'!$C$14</f>
        <v>£m 09/10</v>
      </c>
      <c r="D43" s="151">
        <f t="shared" ref="D43:K43" si="4">D39/D41</f>
        <v>3.8923592511192764</v>
      </c>
      <c r="E43" s="152">
        <f t="shared" si="4"/>
        <v>10.522934268322176</v>
      </c>
      <c r="F43" s="152">
        <f t="shared" si="4"/>
        <v>20.716823658119733</v>
      </c>
      <c r="G43" s="152">
        <f t="shared" si="4"/>
        <v>9.3540335522035072</v>
      </c>
      <c r="H43" s="152">
        <f t="shared" si="4"/>
        <v>-8.2970977878496441</v>
      </c>
      <c r="I43" s="152">
        <f t="shared" si="4"/>
        <v>-3.692605019841408</v>
      </c>
      <c r="J43" s="152">
        <f t="shared" si="4"/>
        <v>-0.26761879137747269</v>
      </c>
      <c r="K43" s="153">
        <f t="shared" si="4"/>
        <v>0.74162940909501485</v>
      </c>
      <c r="L43" s="714">
        <f>SUM(D43:INDEX(D43:K43,0,MATCH('RFPR cover'!$C$7,$D$6:$K$6,0)))</f>
        <v>32.496447922073635</v>
      </c>
      <c r="M43" s="715">
        <f>SUM(D43:K43)</f>
        <v>32.970458539791174</v>
      </c>
    </row>
    <row r="44" spans="2:14">
      <c r="B44" s="221"/>
      <c r="C44" s="221"/>
      <c r="D44" s="221"/>
      <c r="E44" s="221"/>
      <c r="F44" s="221"/>
      <c r="G44" s="221"/>
      <c r="H44" s="221"/>
      <c r="I44" s="221"/>
      <c r="J44" s="221"/>
      <c r="K44" s="221"/>
      <c r="L44" s="221"/>
      <c r="M44" s="221"/>
    </row>
    <row r="45" spans="2:14">
      <c r="B45" s="864" t="s">
        <v>508</v>
      </c>
      <c r="C45" s="158"/>
      <c r="D45" s="836"/>
      <c r="E45" s="836"/>
      <c r="F45" s="836"/>
      <c r="G45" s="836"/>
      <c r="H45" s="836"/>
      <c r="I45" s="836"/>
      <c r="J45" s="836"/>
      <c r="K45" s="836"/>
      <c r="L45" s="859"/>
      <c r="M45" s="859"/>
    </row>
    <row r="46" spans="2:14">
      <c r="B46" s="387" t="s">
        <v>493</v>
      </c>
      <c r="C46" s="158" t="s">
        <v>128</v>
      </c>
      <c r="D46" s="911">
        <v>0</v>
      </c>
      <c r="E46" s="911">
        <v>0</v>
      </c>
      <c r="F46" s="911">
        <v>0</v>
      </c>
      <c r="G46" s="911">
        <v>0</v>
      </c>
      <c r="H46" s="911">
        <v>0</v>
      </c>
      <c r="I46" s="911">
        <v>0</v>
      </c>
      <c r="J46" s="911">
        <v>0</v>
      </c>
      <c r="K46" s="911">
        <v>0</v>
      </c>
      <c r="L46" s="912">
        <v>0</v>
      </c>
      <c r="M46" s="913">
        <v>0</v>
      </c>
    </row>
    <row r="47" spans="2:14">
      <c r="B47" s="387" t="s">
        <v>511</v>
      </c>
      <c r="C47" s="158" t="s">
        <v>128</v>
      </c>
      <c r="D47" s="911">
        <v>0</v>
      </c>
      <c r="E47" s="911">
        <v>0</v>
      </c>
      <c r="F47" s="911">
        <v>0</v>
      </c>
      <c r="G47" s="911">
        <v>0</v>
      </c>
      <c r="H47" s="911">
        <v>0</v>
      </c>
      <c r="I47" s="911">
        <v>0</v>
      </c>
      <c r="J47" s="911">
        <v>0</v>
      </c>
      <c r="K47" s="911">
        <v>0</v>
      </c>
      <c r="L47" s="912">
        <v>0</v>
      </c>
      <c r="M47" s="913">
        <v>0</v>
      </c>
    </row>
    <row r="48" spans="2:14">
      <c r="B48" s="387" t="s">
        <v>512</v>
      </c>
      <c r="C48" s="158" t="s">
        <v>128</v>
      </c>
      <c r="D48" s="911">
        <v>0</v>
      </c>
      <c r="E48" s="911">
        <v>0</v>
      </c>
      <c r="F48" s="911">
        <v>0</v>
      </c>
      <c r="G48" s="911">
        <v>0</v>
      </c>
      <c r="H48" s="911">
        <v>0</v>
      </c>
      <c r="I48" s="911">
        <v>0</v>
      </c>
      <c r="J48" s="911">
        <v>0</v>
      </c>
      <c r="K48" s="911">
        <v>0</v>
      </c>
      <c r="L48" s="912">
        <v>0</v>
      </c>
      <c r="M48" s="913">
        <v>0</v>
      </c>
    </row>
    <row r="49" spans="1:14">
      <c r="B49" s="387" t="s">
        <v>571</v>
      </c>
      <c r="C49" s="158" t="s">
        <v>128</v>
      </c>
      <c r="D49" s="911">
        <v>0</v>
      </c>
      <c r="E49" s="911">
        <v>0</v>
      </c>
      <c r="F49" s="911">
        <v>0</v>
      </c>
      <c r="G49" s="911">
        <v>0</v>
      </c>
      <c r="H49" s="911">
        <v>0</v>
      </c>
      <c r="I49" s="911">
        <v>0</v>
      </c>
      <c r="J49" s="911">
        <v>0</v>
      </c>
      <c r="K49" s="911">
        <v>0</v>
      </c>
      <c r="L49" s="912">
        <v>0</v>
      </c>
      <c r="M49" s="913">
        <v>0</v>
      </c>
    </row>
    <row r="50" spans="1:14">
      <c r="B50" s="387" t="s">
        <v>571</v>
      </c>
      <c r="C50" s="158" t="s">
        <v>128</v>
      </c>
      <c r="D50" s="911">
        <v>0</v>
      </c>
      <c r="E50" s="911">
        <v>0</v>
      </c>
      <c r="F50" s="911">
        <v>0</v>
      </c>
      <c r="G50" s="911">
        <v>0</v>
      </c>
      <c r="H50" s="911">
        <v>0</v>
      </c>
      <c r="I50" s="911">
        <v>0</v>
      </c>
      <c r="J50" s="911">
        <v>0</v>
      </c>
      <c r="K50" s="911">
        <v>0</v>
      </c>
      <c r="L50" s="912">
        <v>0</v>
      </c>
      <c r="M50" s="913">
        <v>0</v>
      </c>
    </row>
    <row r="51" spans="1:14">
      <c r="B51" s="387" t="s">
        <v>571</v>
      </c>
      <c r="C51" s="158" t="s">
        <v>128</v>
      </c>
      <c r="D51" s="911">
        <v>0</v>
      </c>
      <c r="E51" s="911">
        <v>0</v>
      </c>
      <c r="F51" s="911">
        <v>0</v>
      </c>
      <c r="G51" s="911">
        <v>0</v>
      </c>
      <c r="H51" s="911">
        <v>0</v>
      </c>
      <c r="I51" s="911">
        <v>0</v>
      </c>
      <c r="J51" s="911">
        <v>0</v>
      </c>
      <c r="K51" s="911">
        <v>0</v>
      </c>
      <c r="L51" s="912">
        <v>0</v>
      </c>
      <c r="M51" s="913">
        <v>0</v>
      </c>
    </row>
    <row r="52" spans="1:14">
      <c r="B52" s="387" t="s">
        <v>571</v>
      </c>
      <c r="C52" s="158" t="s">
        <v>128</v>
      </c>
      <c r="D52" s="911">
        <v>0</v>
      </c>
      <c r="E52" s="911">
        <v>0</v>
      </c>
      <c r="F52" s="911">
        <v>0</v>
      </c>
      <c r="G52" s="911">
        <v>0</v>
      </c>
      <c r="H52" s="911">
        <v>0</v>
      </c>
      <c r="I52" s="911">
        <v>0</v>
      </c>
      <c r="J52" s="911">
        <v>0</v>
      </c>
      <c r="K52" s="911">
        <v>0</v>
      </c>
      <c r="L52" s="912">
        <v>0</v>
      </c>
      <c r="M52" s="913">
        <v>0</v>
      </c>
    </row>
    <row r="53" spans="1:14" s="895" customFormat="1">
      <c r="B53" s="894"/>
      <c r="C53" s="896"/>
      <c r="D53" s="897"/>
      <c r="E53" s="897"/>
      <c r="F53" s="897"/>
      <c r="G53" s="897"/>
      <c r="H53" s="897"/>
      <c r="I53" s="897"/>
      <c r="J53" s="897"/>
      <c r="K53" s="897"/>
      <c r="L53" s="898"/>
      <c r="M53" s="898"/>
    </row>
    <row r="54" spans="1:14">
      <c r="B54" s="889" t="s">
        <v>509</v>
      </c>
      <c r="C54" s="241" t="s">
        <v>128</v>
      </c>
      <c r="D54" s="151">
        <f>SUM(D46:D52)</f>
        <v>0</v>
      </c>
      <c r="E54" s="151">
        <f t="shared" ref="E54:K54" si="5">SUM(E46:E52)</f>
        <v>0</v>
      </c>
      <c r="F54" s="151">
        <f t="shared" si="5"/>
        <v>0</v>
      </c>
      <c r="G54" s="151">
        <f t="shared" si="5"/>
        <v>0</v>
      </c>
      <c r="H54" s="151">
        <f t="shared" si="5"/>
        <v>0</v>
      </c>
      <c r="I54" s="151">
        <f t="shared" si="5"/>
        <v>0</v>
      </c>
      <c r="J54" s="151">
        <f t="shared" si="5"/>
        <v>0</v>
      </c>
      <c r="K54" s="151">
        <f t="shared" si="5"/>
        <v>0</v>
      </c>
      <c r="L54" s="714">
        <f>SUM(D54:INDEX(D54:K54,0,MATCH('RFPR cover'!$C$7,$D$6:$K$6,0)))</f>
        <v>0</v>
      </c>
      <c r="M54" s="715">
        <f t="shared" ref="M54" si="6">SUM(D54:K54)</f>
        <v>0</v>
      </c>
    </row>
    <row r="55" spans="1:14">
      <c r="B55" s="889" t="s">
        <v>509</v>
      </c>
      <c r="C55" s="162" t="str">
        <f>'RFPR cover'!$C$14</f>
        <v>£m 09/10</v>
      </c>
      <c r="D55" s="151">
        <f>D54/D41</f>
        <v>0</v>
      </c>
      <c r="E55" s="151">
        <f t="shared" ref="E55:K55" si="7">E54/E41</f>
        <v>0</v>
      </c>
      <c r="F55" s="151">
        <f t="shared" si="7"/>
        <v>0</v>
      </c>
      <c r="G55" s="151">
        <f t="shared" si="7"/>
        <v>0</v>
      </c>
      <c r="H55" s="151">
        <f t="shared" si="7"/>
        <v>0</v>
      </c>
      <c r="I55" s="151">
        <f t="shared" si="7"/>
        <v>0</v>
      </c>
      <c r="J55" s="151">
        <f t="shared" si="7"/>
        <v>0</v>
      </c>
      <c r="K55" s="151">
        <f t="shared" si="7"/>
        <v>0</v>
      </c>
      <c r="L55" s="714">
        <f>SUM(D55:INDEX(D55:K55,0,MATCH('RFPR cover'!$C$7,$D$6:$K$6,0)))</f>
        <v>0</v>
      </c>
      <c r="M55" s="715">
        <f>SUM(D55:K55)</f>
        <v>0</v>
      </c>
    </row>
    <row r="56" spans="1:14">
      <c r="B56" s="221"/>
      <c r="C56" s="65"/>
      <c r="D56" s="836"/>
      <c r="E56" s="836"/>
      <c r="F56" s="836"/>
      <c r="G56" s="836"/>
      <c r="H56" s="836"/>
      <c r="I56" s="836"/>
      <c r="J56" s="836"/>
      <c r="K56" s="836"/>
      <c r="L56" s="859"/>
      <c r="M56" s="859"/>
    </row>
    <row r="57" spans="1:14" s="2" customFormat="1">
      <c r="A57" s="1"/>
    </row>
    <row r="58" spans="1:14" s="2" customFormat="1">
      <c r="A58" s="1"/>
      <c r="B58" s="860" t="s">
        <v>428</v>
      </c>
      <c r="C58" s="80"/>
      <c r="D58" s="80"/>
      <c r="E58" s="80"/>
      <c r="F58" s="80"/>
      <c r="G58" s="80"/>
      <c r="H58" s="80"/>
      <c r="I58" s="80"/>
      <c r="J58" s="80"/>
      <c r="K58" s="80"/>
      <c r="L58" s="80"/>
      <c r="M58" s="80"/>
      <c r="N58" s="80"/>
    </row>
    <row r="59" spans="1:14" s="2" customFormat="1">
      <c r="A59" s="1"/>
      <c r="B59" s="386" t="s">
        <v>429</v>
      </c>
    </row>
    <row r="60" spans="1:14" s="2" customFormat="1">
      <c r="A60" s="1"/>
    </row>
    <row r="61" spans="1:14" s="32" customFormat="1">
      <c r="B61" s="221" t="s">
        <v>115</v>
      </c>
      <c r="C61" s="161" t="s">
        <v>7</v>
      </c>
      <c r="D61" s="922">
        <f>'RFPR cover'!$C$12</f>
        <v>0.55000000000000004</v>
      </c>
      <c r="E61" s="923">
        <f>'RFPR cover'!$C$12</f>
        <v>0.55000000000000004</v>
      </c>
      <c r="F61" s="923">
        <f>'RFPR cover'!$C$12</f>
        <v>0.55000000000000004</v>
      </c>
      <c r="G61" s="923">
        <f>'RFPR cover'!$C$12</f>
        <v>0.55000000000000004</v>
      </c>
      <c r="H61" s="923">
        <f>'RFPR cover'!$C$12</f>
        <v>0.55000000000000004</v>
      </c>
      <c r="I61" s="923">
        <f>'RFPR cover'!$C$12</f>
        <v>0.55000000000000004</v>
      </c>
      <c r="J61" s="923">
        <f>'RFPR cover'!$C$12</f>
        <v>0.55000000000000004</v>
      </c>
      <c r="K61" s="924">
        <f>'RFPR cover'!$C$12</f>
        <v>0.55000000000000004</v>
      </c>
      <c r="N61" s="854"/>
    </row>
    <row r="62" spans="1:14" s="32" customFormat="1">
      <c r="B62" s="221" t="s">
        <v>391</v>
      </c>
      <c r="C62" s="161" t="s">
        <v>7</v>
      </c>
      <c r="D62" s="923">
        <f>'R8 - Net Debt'!D64</f>
        <v>0.47395611536841786</v>
      </c>
      <c r="E62" s="923">
        <f>'R8 - Net Debt'!E64</f>
        <v>0.59869666591646442</v>
      </c>
      <c r="F62" s="923">
        <f>'R8 - Net Debt'!F64</f>
        <v>0.65987164756340067</v>
      </c>
      <c r="G62" s="923">
        <f>'R8 - Net Debt'!G64</f>
        <v>0.60274125215083962</v>
      </c>
      <c r="H62" s="923">
        <f>'R8 - Net Debt'!H64</f>
        <v>0.55592890830844699</v>
      </c>
      <c r="I62" s="923">
        <f>'R8 - Net Debt'!I64</f>
        <v>0.56000388156546721</v>
      </c>
      <c r="J62" s="923">
        <f>'R8 - Net Debt'!J64</f>
        <v>0.56783534817862846</v>
      </c>
      <c r="K62" s="924">
        <f>'R8 - Net Debt'!K64</f>
        <v>0.56073618060915742</v>
      </c>
      <c r="N62" s="854"/>
    </row>
    <row r="63" spans="1:14" s="32" customFormat="1">
      <c r="B63" s="221"/>
      <c r="C63" s="161"/>
      <c r="D63" s="161"/>
      <c r="E63" s="161"/>
      <c r="F63" s="161"/>
      <c r="G63" s="161"/>
      <c r="H63" s="161"/>
      <c r="I63" s="161"/>
      <c r="J63" s="161"/>
      <c r="K63" s="161"/>
      <c r="N63" s="854"/>
    </row>
    <row r="64" spans="1:14">
      <c r="B64" s="221" t="s">
        <v>418</v>
      </c>
      <c r="C64" s="158" t="s">
        <v>128</v>
      </c>
      <c r="D64" s="95">
        <f t="shared" ref="D64:K64" si="8">D39</f>
        <v>4.5411729845713609</v>
      </c>
      <c r="E64" s="96">
        <f t="shared" si="8"/>
        <v>12.517623037106915</v>
      </c>
      <c r="F64" s="96">
        <f t="shared" si="8"/>
        <v>24.909405572200459</v>
      </c>
      <c r="G64" s="96">
        <f t="shared" si="8"/>
        <v>11.48805915207382</v>
      </c>
      <c r="H64" s="96">
        <f t="shared" si="8"/>
        <v>-10.571304039367327</v>
      </c>
      <c r="I64" s="96">
        <f t="shared" si="8"/>
        <v>-4.8484918590944375</v>
      </c>
      <c r="J64" s="96">
        <f t="shared" si="8"/>
        <v>-0.3606148361053485</v>
      </c>
      <c r="K64" s="97">
        <f t="shared" si="8"/>
        <v>1.0270732397142766</v>
      </c>
      <c r="L64" s="32"/>
      <c r="M64" s="32"/>
    </row>
    <row r="65" spans="2:15" s="32" customFormat="1">
      <c r="B65" s="221" t="s">
        <v>436</v>
      </c>
      <c r="C65" s="158" t="s">
        <v>128</v>
      </c>
      <c r="D65" s="95">
        <f>((D61-D62)/D62)*D64</f>
        <v>0.72860845832186361</v>
      </c>
      <c r="E65" s="95">
        <f t="shared" ref="E65:K65" si="9">((E61-E62)/E62)*E64</f>
        <v>-1.018155840525903</v>
      </c>
      <c r="F65" s="95">
        <f t="shared" si="9"/>
        <v>-4.1475299630594602</v>
      </c>
      <c r="G65" s="95">
        <f t="shared" si="9"/>
        <v>-1.0052317180899655</v>
      </c>
      <c r="H65" s="95">
        <f t="shared" si="9"/>
        <v>0.11274155996102456</v>
      </c>
      <c r="I65" s="95">
        <f t="shared" si="9"/>
        <v>8.6613218097564448E-2</v>
      </c>
      <c r="J65" s="95">
        <f t="shared" si="9"/>
        <v>1.1326683308723228E-2</v>
      </c>
      <c r="K65" s="95">
        <f t="shared" si="9"/>
        <v>-1.9664940807682173E-2</v>
      </c>
      <c r="N65" s="854"/>
    </row>
    <row r="66" spans="2:15">
      <c r="B66" s="221" t="s">
        <v>435</v>
      </c>
      <c r="C66" s="158" t="s">
        <v>128</v>
      </c>
      <c r="D66" s="102">
        <f>SUM(D64:D65)</f>
        <v>5.2697814428932244</v>
      </c>
      <c r="E66" s="103">
        <f t="shared" ref="E66:K66" si="10">SUM(E64:E65)</f>
        <v>11.499467196581012</v>
      </c>
      <c r="F66" s="103">
        <f t="shared" si="10"/>
        <v>20.761875609141001</v>
      </c>
      <c r="G66" s="103">
        <f t="shared" si="10"/>
        <v>10.482827433983854</v>
      </c>
      <c r="H66" s="103">
        <f t="shared" si="10"/>
        <v>-10.458562479406302</v>
      </c>
      <c r="I66" s="103">
        <f t="shared" si="10"/>
        <v>-4.7618786409968727</v>
      </c>
      <c r="J66" s="103">
        <f t="shared" si="10"/>
        <v>-0.34928815279662528</v>
      </c>
      <c r="K66" s="104">
        <f t="shared" si="10"/>
        <v>1.0074082989065944</v>
      </c>
      <c r="L66" s="32"/>
      <c r="M66" s="32"/>
    </row>
    <row r="67" spans="2:15">
      <c r="B67" s="221"/>
      <c r="C67" s="158"/>
      <c r="D67" s="158"/>
      <c r="E67" s="158"/>
      <c r="F67" s="158"/>
      <c r="G67" s="158"/>
      <c r="H67" s="158"/>
      <c r="I67" s="158"/>
      <c r="J67" s="158"/>
      <c r="K67" s="158"/>
      <c r="L67" s="158"/>
      <c r="M67" s="158"/>
      <c r="N67" s="158"/>
      <c r="O67" s="158"/>
    </row>
    <row r="68" spans="2:15">
      <c r="B68" s="864" t="s">
        <v>435</v>
      </c>
      <c r="C68" s="162" t="str">
        <f>'RFPR cover'!$C$14</f>
        <v>£m 09/10</v>
      </c>
      <c r="D68" s="151">
        <f t="shared" ref="D68:K68" si="11">D66/D41</f>
        <v>4.5168687958620533</v>
      </c>
      <c r="E68" s="152">
        <f t="shared" si="11"/>
        <v>9.667022011418279</v>
      </c>
      <c r="F68" s="152">
        <f t="shared" si="11"/>
        <v>17.267377760568341</v>
      </c>
      <c r="G68" s="152">
        <f t="shared" si="11"/>
        <v>8.5355340046053989</v>
      </c>
      <c r="H68" s="152">
        <f t="shared" si="11"/>
        <v>-8.2086103368911036</v>
      </c>
      <c r="I68" s="152">
        <f t="shared" si="11"/>
        <v>-3.6266405069111087</v>
      </c>
      <c r="J68" s="152">
        <f t="shared" si="11"/>
        <v>-0.25921305485777396</v>
      </c>
      <c r="K68" s="153">
        <f t="shared" si="11"/>
        <v>0.72742974166414409</v>
      </c>
      <c r="L68" s="714">
        <f>SUM(D68:INDEX(D68:K68,0,MATCH('RFPR cover'!$C$7,$D$6:$K$6,0)))</f>
        <v>28.151551728651853</v>
      </c>
      <c r="M68" s="715">
        <f>SUM(D68:K68)</f>
        <v>28.619768415458221</v>
      </c>
    </row>
    <row r="69" spans="2:15">
      <c r="B69" s="389" t="s">
        <v>510</v>
      </c>
      <c r="C69" s="165" t="str">
        <f>'RFPR cover'!$C$14</f>
        <v>£m 09/10</v>
      </c>
      <c r="D69" s="95">
        <f>D55*((D61-D62)/D62)+D55</f>
        <v>0</v>
      </c>
      <c r="E69" s="95">
        <f t="shared" ref="E69:K69" si="12">E55*((E61-E62)/E62)+E55</f>
        <v>0</v>
      </c>
      <c r="F69" s="95">
        <f t="shared" si="12"/>
        <v>0</v>
      </c>
      <c r="G69" s="95">
        <f t="shared" si="12"/>
        <v>0</v>
      </c>
      <c r="H69" s="95">
        <f t="shared" si="12"/>
        <v>0</v>
      </c>
      <c r="I69" s="95">
        <f t="shared" si="12"/>
        <v>0</v>
      </c>
      <c r="J69" s="95">
        <f t="shared" si="12"/>
        <v>0</v>
      </c>
      <c r="K69" s="95">
        <f t="shared" si="12"/>
        <v>0</v>
      </c>
      <c r="L69" s="710">
        <f>SUM(D69:INDEX(D69:K69,0,MATCH('RFPR cover'!$C$7,$D$6:$K$6,0)))</f>
        <v>0</v>
      </c>
      <c r="M69" s="711">
        <f>SUM(D69:K69)</f>
        <v>0</v>
      </c>
      <c r="N69" s="161"/>
    </row>
    <row r="71" spans="2:15">
      <c r="B71" s="856" t="s">
        <v>319</v>
      </c>
      <c r="C71" s="857"/>
      <c r="D71" s="857"/>
      <c r="E71" s="857"/>
      <c r="F71" s="857"/>
      <c r="G71" s="857"/>
      <c r="H71" s="857"/>
      <c r="I71" s="857"/>
      <c r="J71" s="857"/>
      <c r="K71" s="857"/>
      <c r="L71" s="857"/>
      <c r="M71" s="857"/>
      <c r="N71" s="857"/>
      <c r="O71" s="161"/>
    </row>
    <row r="72" spans="2:15" s="32" customFormat="1">
      <c r="B72" s="858"/>
      <c r="C72" s="65"/>
      <c r="D72" s="65"/>
      <c r="E72" s="65"/>
      <c r="F72" s="65"/>
      <c r="G72" s="65"/>
      <c r="H72" s="65"/>
      <c r="I72" s="65"/>
      <c r="J72" s="65"/>
      <c r="K72" s="65"/>
      <c r="L72" s="65"/>
      <c r="M72" s="65"/>
      <c r="N72" s="65"/>
      <c r="O72" s="65"/>
    </row>
    <row r="73" spans="2:15">
      <c r="B73" s="386" t="s">
        <v>465</v>
      </c>
      <c r="C73" s="385"/>
      <c r="D73" s="385"/>
      <c r="E73" s="385"/>
      <c r="F73" s="385"/>
      <c r="G73" s="385"/>
      <c r="H73" s="385"/>
      <c r="I73" s="385"/>
      <c r="J73" s="385"/>
      <c r="K73" s="385"/>
      <c r="L73" s="385"/>
      <c r="M73" s="385"/>
      <c r="N73" s="385"/>
      <c r="O73" s="161"/>
    </row>
    <row r="74" spans="2:15">
      <c r="B74" s="386" t="s">
        <v>348</v>
      </c>
      <c r="C74" s="385"/>
      <c r="D74" s="385"/>
      <c r="E74" s="385"/>
      <c r="F74" s="385"/>
      <c r="G74" s="385"/>
      <c r="H74" s="385"/>
      <c r="I74" s="385"/>
      <c r="J74" s="385"/>
      <c r="K74" s="385"/>
      <c r="L74" s="385"/>
      <c r="M74" s="385"/>
      <c r="N74" s="385"/>
      <c r="O74" s="161"/>
    </row>
    <row r="75" spans="2:15">
      <c r="B75" s="386" t="s">
        <v>349</v>
      </c>
      <c r="C75" s="385"/>
      <c r="D75" s="385"/>
      <c r="E75" s="385"/>
      <c r="F75" s="385"/>
      <c r="G75" s="385"/>
      <c r="H75" s="385"/>
      <c r="I75" s="385"/>
      <c r="J75" s="385"/>
      <c r="K75" s="385"/>
      <c r="L75" s="385"/>
      <c r="M75" s="385"/>
      <c r="N75" s="385"/>
      <c r="O75" s="161"/>
    </row>
    <row r="76" spans="2:15">
      <c r="B76" s="386" t="s">
        <v>516</v>
      </c>
      <c r="C76" s="385"/>
      <c r="D76" s="385"/>
      <c r="E76" s="385"/>
      <c r="F76" s="385"/>
      <c r="G76" s="385"/>
      <c r="H76" s="385"/>
      <c r="I76" s="385"/>
      <c r="J76" s="385"/>
      <c r="K76" s="385"/>
      <c r="L76" s="385"/>
      <c r="M76" s="385"/>
      <c r="N76" s="385"/>
      <c r="O76" s="161"/>
    </row>
    <row r="77" spans="2:15" s="32" customFormat="1">
      <c r="B77" s="390"/>
      <c r="C77" s="390"/>
      <c r="D77" s="390"/>
      <c r="E77" s="390"/>
      <c r="F77" s="390"/>
      <c r="G77" s="390"/>
      <c r="H77" s="390"/>
      <c r="I77" s="390"/>
      <c r="J77" s="390"/>
      <c r="K77" s="390"/>
      <c r="L77" s="390"/>
      <c r="M77" s="390"/>
      <c r="N77" s="390"/>
      <c r="O77" s="65"/>
    </row>
    <row r="78" spans="2:15">
      <c r="B78" s="389" t="s">
        <v>233</v>
      </c>
      <c r="C78" s="161" t="str">
        <f>'RFPR cover'!$C$14</f>
        <v>£m 09/10</v>
      </c>
      <c r="D78" s="619">
        <v>18.111307332892292</v>
      </c>
      <c r="E78" s="620">
        <v>19.189008972845816</v>
      </c>
      <c r="F78" s="620">
        <v>20.484854710554419</v>
      </c>
      <c r="G78" s="620">
        <v>21.620659192507102</v>
      </c>
      <c r="H78" s="620">
        <v>21.118745038836582</v>
      </c>
      <c r="I78" s="620">
        <v>18.491538300892007</v>
      </c>
      <c r="J78" s="941">
        <v>15.36606349035922</v>
      </c>
      <c r="K78" s="934"/>
      <c r="L78" s="932"/>
      <c r="M78" s="932"/>
      <c r="O78" s="65"/>
    </row>
    <row r="79" spans="2:15">
      <c r="B79" s="389" t="s">
        <v>318</v>
      </c>
      <c r="C79" s="161" t="str">
        <f>'RFPR cover'!$C$14</f>
        <v>£m 09/10</v>
      </c>
      <c r="D79" s="712">
        <f>'R9 - RAV'!D49</f>
        <v>17.81323799998113</v>
      </c>
      <c r="E79" s="713">
        <f>'R9 - RAV'!E49</f>
        <v>18.207329641473201</v>
      </c>
      <c r="F79" s="713">
        <f>'R9 - RAV'!F49</f>
        <v>19.207045396737019</v>
      </c>
      <c r="G79" s="713">
        <f>'R9 - RAV'!G49</f>
        <v>20.424339780739189</v>
      </c>
      <c r="H79" s="713">
        <f>'R9 - RAV'!H49</f>
        <v>20.708576085659303</v>
      </c>
      <c r="I79" s="713">
        <f>'R9 - RAV'!I49</f>
        <v>18.326539594755832</v>
      </c>
      <c r="J79" s="713">
        <f>'R9 - RAV'!J49</f>
        <v>15.578838114645919</v>
      </c>
      <c r="K79" s="933">
        <f>'R9 - RAV'!K49</f>
        <v>11.544787171777127</v>
      </c>
      <c r="L79" s="935">
        <f>SUM(D79:INDEX(D79:K79,0,MATCH('RFPR cover'!$C$7,$D$6:$K$6,0)))</f>
        <v>114.68706849934567</v>
      </c>
      <c r="M79" s="935">
        <f>SUM(D79:K79)</f>
        <v>141.81069378576873</v>
      </c>
      <c r="O79" s="65"/>
    </row>
    <row r="80" spans="2:15" s="32" customFormat="1">
      <c r="B80" s="861"/>
      <c r="C80" s="65"/>
      <c r="D80" s="862"/>
      <c r="E80" s="862"/>
      <c r="F80" s="862"/>
      <c r="G80" s="862"/>
      <c r="H80" s="862"/>
      <c r="I80" s="862"/>
      <c r="J80" s="862"/>
      <c r="K80" s="862"/>
      <c r="L80" s="859"/>
      <c r="M80" s="859"/>
      <c r="O80" s="65"/>
    </row>
    <row r="81" spans="2:15" s="32" customFormat="1">
      <c r="B81" s="861"/>
      <c r="C81" s="65"/>
      <c r="D81" s="862"/>
      <c r="E81" s="863"/>
      <c r="F81" s="863"/>
      <c r="G81" s="863"/>
      <c r="H81" s="863"/>
      <c r="I81" s="863"/>
      <c r="J81" s="863"/>
      <c r="K81" s="863"/>
      <c r="L81" s="859"/>
      <c r="M81" s="859"/>
      <c r="O81" s="65"/>
    </row>
    <row r="82" spans="2:15">
      <c r="B82" s="865" t="s">
        <v>585</v>
      </c>
      <c r="C82" s="857"/>
      <c r="D82" s="857"/>
      <c r="E82" s="857"/>
      <c r="F82" s="857"/>
      <c r="G82" s="857"/>
      <c r="H82" s="857"/>
      <c r="I82" s="857"/>
      <c r="J82" s="857"/>
      <c r="K82" s="857"/>
      <c r="L82" s="857"/>
      <c r="M82" s="857"/>
      <c r="N82" s="857"/>
    </row>
    <row r="83" spans="2:15">
      <c r="B83" s="389"/>
      <c r="C83" s="161"/>
      <c r="D83" s="161"/>
      <c r="E83" s="161"/>
      <c r="F83" s="161"/>
      <c r="G83" s="161"/>
      <c r="H83" s="161"/>
      <c r="I83" s="161"/>
      <c r="J83" s="161"/>
      <c r="K83" s="161"/>
      <c r="L83" s="161"/>
      <c r="M83" s="161"/>
      <c r="N83" s="161"/>
    </row>
    <row r="84" spans="2:15" ht="15">
      <c r="B84" s="884" t="s">
        <v>473</v>
      </c>
      <c r="C84" s="161"/>
      <c r="D84" s="951" t="s">
        <v>584</v>
      </c>
      <c r="E84" s="161"/>
      <c r="F84" s="161"/>
      <c r="G84" s="161"/>
      <c r="H84" s="161"/>
      <c r="I84" s="161"/>
      <c r="J84" s="161"/>
      <c r="K84" s="161"/>
      <c r="L84" s="161"/>
      <c r="M84" s="161"/>
      <c r="N84" s="161"/>
    </row>
    <row r="85" spans="2:15">
      <c r="B85" s="221" t="s">
        <v>474</v>
      </c>
      <c r="C85" s="161" t="str">
        <f>'RFPR cover'!$C$14</f>
        <v>£m 09/10</v>
      </c>
      <c r="D85" s="151">
        <f>D79-D43-D55</f>
        <v>13.920878748861853</v>
      </c>
      <c r="E85" s="151">
        <f t="shared" ref="E85:K85" si="13">E79-E43-E55</f>
        <v>7.6843953731510251</v>
      </c>
      <c r="F85" s="151">
        <f t="shared" si="13"/>
        <v>-1.5097782613827135</v>
      </c>
      <c r="G85" s="151">
        <f t="shared" si="13"/>
        <v>11.070306228535681</v>
      </c>
      <c r="H85" s="151">
        <f t="shared" si="13"/>
        <v>29.005673873508947</v>
      </c>
      <c r="I85" s="151">
        <f t="shared" si="13"/>
        <v>22.019144614597241</v>
      </c>
      <c r="J85" s="151">
        <f t="shared" si="13"/>
        <v>15.846456906023391</v>
      </c>
      <c r="K85" s="151">
        <f t="shared" si="13"/>
        <v>10.803157762682112</v>
      </c>
      <c r="L85" s="714">
        <f>SUM(D85:INDEX(D85:K85,0,MATCH('RFPR cover'!$C$7,$D$6:$K$6,0)))</f>
        <v>82.190620577272028</v>
      </c>
      <c r="M85" s="715">
        <f>SUM(D85:K85)</f>
        <v>108.84023524597754</v>
      </c>
    </row>
    <row r="86" spans="2:15">
      <c r="B86" s="221"/>
    </row>
    <row r="87" spans="2:15">
      <c r="B87" s="221" t="s">
        <v>475</v>
      </c>
      <c r="C87" s="161" t="str">
        <f>'RFPR cover'!$C$14</f>
        <v>£m 09/10</v>
      </c>
      <c r="D87" s="151">
        <f>D79-D68-D69</f>
        <v>13.296369204119078</v>
      </c>
      <c r="E87" s="151">
        <f t="shared" ref="E87:K87" si="14">E79-E68-E69</f>
        <v>8.5403076300549223</v>
      </c>
      <c r="F87" s="151">
        <f>F79-F68-F69</f>
        <v>1.9396676361686787</v>
      </c>
      <c r="G87" s="151">
        <f t="shared" si="14"/>
        <v>11.88880577613379</v>
      </c>
      <c r="H87" s="151">
        <f t="shared" si="14"/>
        <v>28.917186422550408</v>
      </c>
      <c r="I87" s="151">
        <f t="shared" si="14"/>
        <v>21.953180101666941</v>
      </c>
      <c r="J87" s="151">
        <f t="shared" si="14"/>
        <v>15.838051169503693</v>
      </c>
      <c r="K87" s="151">
        <f t="shared" si="14"/>
        <v>10.817357430112983</v>
      </c>
      <c r="L87" s="714">
        <f>SUM(D87:INDEX(D87:K87,0,MATCH('RFPR cover'!$C$7,$D$6:$K$6,0)))</f>
        <v>86.535516770693832</v>
      </c>
      <c r="M87" s="715">
        <f>SUM(D87:K87)</f>
        <v>113.1909253703105</v>
      </c>
    </row>
    <row r="88" spans="2:15">
      <c r="B88" s="221"/>
    </row>
    <row r="89" spans="2:15">
      <c r="B89" s="221" t="s">
        <v>476</v>
      </c>
      <c r="C89" s="161" t="str">
        <f>'RFPR cover'!$C$14</f>
        <v>£m 09/10</v>
      </c>
      <c r="D89" s="151">
        <f t="shared" ref="D89:K89" si="15">D85-D87</f>
        <v>0.62450954474277509</v>
      </c>
      <c r="E89" s="151">
        <f t="shared" si="15"/>
        <v>-0.85591225690389727</v>
      </c>
      <c r="F89" s="151">
        <f t="shared" si="15"/>
        <v>-3.4494458975513922</v>
      </c>
      <c r="G89" s="151">
        <f t="shared" si="15"/>
        <v>-0.81849954759810828</v>
      </c>
      <c r="H89" s="151">
        <f t="shared" si="15"/>
        <v>8.8487450958538716E-2</v>
      </c>
      <c r="I89" s="151">
        <f t="shared" si="15"/>
        <v>6.5964512930300145E-2</v>
      </c>
      <c r="J89" s="151">
        <f t="shared" si="15"/>
        <v>8.4057365196983369E-3</v>
      </c>
      <c r="K89" s="151">
        <f t="shared" si="15"/>
        <v>-1.4199667430871088E-2</v>
      </c>
      <c r="L89" s="714">
        <f>SUM(D89:INDEX(D89:K89,0,MATCH('RFPR cover'!$C$7,$D$6:$K$6,0)))</f>
        <v>-4.3448961934217838</v>
      </c>
      <c r="M89" s="715">
        <f>SUM(D89:K89)</f>
        <v>-4.3506901243329565</v>
      </c>
    </row>
    <row r="90" spans="2:15">
      <c r="B90" s="208"/>
    </row>
    <row r="91" spans="2:15">
      <c r="B91" s="865" t="s">
        <v>586</v>
      </c>
      <c r="C91" s="857"/>
      <c r="D91" s="857"/>
      <c r="E91" s="857"/>
      <c r="F91" s="857"/>
      <c r="G91" s="857"/>
      <c r="H91" s="857"/>
      <c r="I91" s="857"/>
      <c r="J91" s="857"/>
      <c r="K91" s="857"/>
      <c r="L91" s="857"/>
      <c r="M91" s="857"/>
      <c r="N91" s="857"/>
    </row>
    <row r="92" spans="2:15">
      <c r="B92" s="389"/>
      <c r="C92" s="161"/>
      <c r="D92" s="161"/>
      <c r="E92" s="161"/>
      <c r="F92" s="161"/>
      <c r="G92" s="161"/>
      <c r="H92" s="161"/>
      <c r="I92" s="161"/>
      <c r="J92" s="161"/>
      <c r="K92" s="161"/>
      <c r="L92" s="161"/>
      <c r="M92" s="161"/>
      <c r="N92" s="161"/>
    </row>
    <row r="93" spans="2:15" ht="15">
      <c r="B93" s="884" t="s">
        <v>473</v>
      </c>
      <c r="C93" s="161"/>
      <c r="D93" s="951" t="s">
        <v>587</v>
      </c>
      <c r="E93" s="161"/>
      <c r="F93" s="161"/>
      <c r="G93" s="161"/>
      <c r="H93" s="161"/>
      <c r="I93" s="161"/>
      <c r="J93" s="161"/>
      <c r="K93" s="161"/>
      <c r="L93" s="161"/>
      <c r="M93" s="161"/>
      <c r="N93" s="161"/>
    </row>
    <row r="94" spans="2:15">
      <c r="B94" s="221" t="s">
        <v>474</v>
      </c>
      <c r="C94" s="161" t="s">
        <v>184</v>
      </c>
      <c r="D94" s="151">
        <v>-1.6435312754019158</v>
      </c>
      <c r="E94" s="151">
        <v>-6.9280921307063181</v>
      </c>
      <c r="F94" s="151">
        <v>-11.482197297908616</v>
      </c>
      <c r="G94" s="151">
        <v>-9.6211042326649867</v>
      </c>
      <c r="H94" s="151">
        <v>-6.9973295264000015</v>
      </c>
      <c r="I94" s="151">
        <v>-8.4055742177732924</v>
      </c>
      <c r="J94" s="151">
        <v>-11.3846930513551</v>
      </c>
      <c r="K94" s="151">
        <v>-18.333658166876461</v>
      </c>
      <c r="L94" s="714">
        <v>-45.077828680855134</v>
      </c>
      <c r="M94" s="715">
        <v>-74.796179899086695</v>
      </c>
    </row>
    <row r="95" spans="2:15">
      <c r="B95" s="221"/>
    </row>
    <row r="96" spans="2:15">
      <c r="B96" s="221" t="s">
        <v>475</v>
      </c>
      <c r="C96" s="161" t="s">
        <v>184</v>
      </c>
      <c r="D96" s="151">
        <v>-4.7652724453210666</v>
      </c>
      <c r="E96" s="151">
        <v>-4.8836323793970706</v>
      </c>
      <c r="F96" s="151">
        <v>-6.3722980170643027</v>
      </c>
      <c r="G96" s="151">
        <v>-6.9920584637878314</v>
      </c>
      <c r="H96" s="151">
        <v>-6.7018497060103641</v>
      </c>
      <c r="I96" s="151">
        <v>-7.9280330624735207</v>
      </c>
      <c r="J96" s="151">
        <v>-10.537785637060693</v>
      </c>
      <c r="K96" s="151">
        <v>-17.761588097975</v>
      </c>
      <c r="L96" s="714">
        <v>-37.643144074054156</v>
      </c>
      <c r="M96" s="715">
        <v>-65.94251780908985</v>
      </c>
    </row>
    <row r="97" spans="2:13">
      <c r="B97" s="221"/>
    </row>
    <row r="98" spans="2:13">
      <c r="B98" s="221" t="s">
        <v>476</v>
      </c>
      <c r="C98" s="161" t="s">
        <v>184</v>
      </c>
      <c r="D98" s="151">
        <v>3.1217411699191508</v>
      </c>
      <c r="E98" s="151">
        <v>-2.0444597513092475</v>
      </c>
      <c r="F98" s="151">
        <v>-5.1098992808443136</v>
      </c>
      <c r="G98" s="151">
        <v>-2.6290457688771554</v>
      </c>
      <c r="H98" s="151">
        <v>-0.29547982038963738</v>
      </c>
      <c r="I98" s="151">
        <v>-0.4775411552997717</v>
      </c>
      <c r="J98" s="151">
        <v>-0.84690741429440664</v>
      </c>
      <c r="K98" s="151">
        <v>-0.57207006890146062</v>
      </c>
      <c r="L98" s="714">
        <v>-7.4346846068009746</v>
      </c>
      <c r="M98" s="715">
        <v>-8.8536620899968419</v>
      </c>
    </row>
  </sheetData>
  <conditionalFormatting sqref="D6:K6">
    <cfRule type="expression" dxfId="31" priority="22">
      <formula>AND(D$5="Actuals",E$5="Forecast")</formula>
    </cfRule>
  </conditionalFormatting>
  <conditionalFormatting sqref="D5:K5">
    <cfRule type="expression" dxfId="30" priority="15">
      <formula>AND(D$5="Actuals",E$5="Forecast")</formula>
    </cfRule>
  </conditionalFormatting>
  <conditionalFormatting sqref="D29:K29">
    <cfRule type="expression" dxfId="29" priority="13">
      <formula>D$5="Forecast"</formula>
    </cfRule>
    <cfRule type="expression" dxfId="28" priority="14">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A7" sqref="A7"/>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79" t="s">
        <v>237</v>
      </c>
      <c r="B1" s="265"/>
      <c r="C1" s="265"/>
      <c r="D1" s="265"/>
      <c r="E1" s="265"/>
      <c r="F1" s="265"/>
      <c r="G1" s="265"/>
      <c r="H1" s="265"/>
      <c r="I1" s="266"/>
      <c r="J1" s="266"/>
      <c r="K1" s="267"/>
      <c r="L1" s="380"/>
    </row>
    <row r="2" spans="1:12" s="32" customFormat="1" ht="20.25">
      <c r="A2" s="124" t="str">
        <f>'RFPR cover'!C5</f>
        <v>SPT</v>
      </c>
      <c r="B2" s="30"/>
      <c r="C2" s="30"/>
      <c r="D2" s="30"/>
      <c r="E2" s="30"/>
      <c r="F2" s="30"/>
      <c r="G2" s="30"/>
      <c r="H2" s="30"/>
      <c r="I2" s="27"/>
      <c r="J2" s="27"/>
      <c r="K2" s="27"/>
      <c r="L2" s="125"/>
    </row>
    <row r="3" spans="1:12" s="32" customFormat="1" ht="23.25">
      <c r="A3" s="269">
        <f>'RFPR cover'!C7</f>
        <v>2019</v>
      </c>
      <c r="B3" s="936" t="str">
        <f>'R1 - RoRE'!B3</f>
        <v/>
      </c>
      <c r="C3" s="270"/>
      <c r="D3" s="270"/>
      <c r="E3" s="270"/>
      <c r="F3" s="270"/>
      <c r="G3" s="270"/>
      <c r="H3" s="270"/>
      <c r="I3" s="263"/>
      <c r="J3" s="263"/>
      <c r="K3" s="263"/>
      <c r="L3" s="271"/>
    </row>
    <row r="4" spans="1:12" s="32" customFormat="1" ht="12.75" customHeight="1">
      <c r="A4" s="40"/>
      <c r="B4" s="40"/>
      <c r="C4" s="40"/>
      <c r="D4" s="40"/>
      <c r="E4" s="40"/>
      <c r="F4" s="40"/>
      <c r="G4" s="40"/>
      <c r="H4" s="40"/>
      <c r="I4" s="35"/>
      <c r="J4" s="35"/>
      <c r="K4" s="35"/>
      <c r="L4" s="34"/>
    </row>
    <row r="5" spans="1:12" s="2" customFormat="1" ht="12.75" customHeight="1">
      <c r="B5" s="3"/>
      <c r="C5" s="3"/>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2" s="2" customFormat="1" ht="12.75" customHeight="1">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2" s="2" customFormat="1"/>
    <row r="8" spans="1:12" s="2" customFormat="1">
      <c r="B8" s="221" t="s">
        <v>506</v>
      </c>
      <c r="C8" s="158" t="s">
        <v>128</v>
      </c>
      <c r="D8" s="915">
        <v>0</v>
      </c>
      <c r="E8" s="722">
        <f>D10</f>
        <v>0</v>
      </c>
      <c r="F8" s="722">
        <f t="shared" ref="F8:K8" si="1">E10</f>
        <v>0</v>
      </c>
      <c r="G8" s="722">
        <f t="shared" si="1"/>
        <v>0</v>
      </c>
      <c r="H8" s="722">
        <f t="shared" si="1"/>
        <v>0</v>
      </c>
      <c r="I8" s="722">
        <f t="shared" si="1"/>
        <v>0</v>
      </c>
      <c r="J8" s="722">
        <f t="shared" si="1"/>
        <v>0</v>
      </c>
      <c r="K8" s="722">
        <f t="shared" si="1"/>
        <v>0</v>
      </c>
    </row>
    <row r="9" spans="1:12" s="2" customFormat="1">
      <c r="B9" s="221"/>
    </row>
    <row r="10" spans="1:12">
      <c r="B10" s="221" t="s">
        <v>507</v>
      </c>
      <c r="C10" s="158" t="s">
        <v>128</v>
      </c>
      <c r="D10" s="716">
        <v>0</v>
      </c>
      <c r="E10" s="717">
        <v>0</v>
      </c>
      <c r="F10" s="717">
        <v>0</v>
      </c>
      <c r="G10" s="717">
        <v>0</v>
      </c>
      <c r="H10" s="717">
        <v>0</v>
      </c>
      <c r="I10" s="717">
        <v>0</v>
      </c>
      <c r="J10" s="717">
        <v>0</v>
      </c>
      <c r="K10" s="718">
        <v>0</v>
      </c>
    </row>
    <row r="11" spans="1:12">
      <c r="B11" s="221" t="s">
        <v>357</v>
      </c>
      <c r="C11" s="158" t="s">
        <v>128</v>
      </c>
      <c r="D11" s="719">
        <v>0</v>
      </c>
      <c r="E11" s="720">
        <v>0</v>
      </c>
      <c r="F11" s="720">
        <v>0</v>
      </c>
      <c r="G11" s="720">
        <v>0</v>
      </c>
      <c r="H11" s="720">
        <v>0</v>
      </c>
      <c r="I11" s="720">
        <v>0</v>
      </c>
      <c r="J11" s="720">
        <v>0</v>
      </c>
      <c r="K11" s="721">
        <v>0</v>
      </c>
    </row>
    <row r="12" spans="1:12">
      <c r="B12" s="221" t="s">
        <v>358</v>
      </c>
      <c r="C12" s="158" t="s">
        <v>128</v>
      </c>
      <c r="D12" s="719">
        <v>765</v>
      </c>
      <c r="E12" s="720">
        <v>1063</v>
      </c>
      <c r="F12" s="720">
        <v>1183.4000000000001</v>
      </c>
      <c r="G12" s="720">
        <v>1188.5</v>
      </c>
      <c r="H12" s="720">
        <v>1303</v>
      </c>
      <c r="I12" s="720">
        <v>1351.6</v>
      </c>
      <c r="J12" s="720">
        <v>1217.5999999999999</v>
      </c>
      <c r="K12" s="721">
        <v>1095.5999999999999</v>
      </c>
    </row>
    <row r="13" spans="1:12">
      <c r="B13" s="221" t="s">
        <v>359</v>
      </c>
      <c r="C13" s="158" t="s">
        <v>128</v>
      </c>
      <c r="D13" s="719">
        <v>-33.200000000000003</v>
      </c>
      <c r="E13" s="720">
        <v>-21.1</v>
      </c>
      <c r="F13" s="720">
        <v>0</v>
      </c>
      <c r="G13" s="720">
        <v>0</v>
      </c>
      <c r="H13" s="720">
        <v>-39.799999999999997</v>
      </c>
      <c r="I13" s="720">
        <v>0</v>
      </c>
      <c r="J13" s="720">
        <v>0</v>
      </c>
      <c r="K13" s="721">
        <v>0</v>
      </c>
    </row>
    <row r="14" spans="1:12">
      <c r="B14" s="221" t="s">
        <v>360</v>
      </c>
      <c r="C14" s="158" t="s">
        <v>128</v>
      </c>
      <c r="D14" s="719">
        <v>0</v>
      </c>
      <c r="E14" s="720">
        <v>0</v>
      </c>
      <c r="F14" s="720">
        <v>0</v>
      </c>
      <c r="G14" s="720">
        <v>0</v>
      </c>
      <c r="H14" s="720">
        <v>0</v>
      </c>
      <c r="I14" s="720">
        <v>0</v>
      </c>
      <c r="J14" s="720">
        <v>0</v>
      </c>
      <c r="K14" s="721">
        <v>0</v>
      </c>
    </row>
    <row r="15" spans="1:12">
      <c r="B15" s="221" t="s">
        <v>293</v>
      </c>
      <c r="C15" s="158" t="s">
        <v>128</v>
      </c>
      <c r="D15" s="719">
        <v>0</v>
      </c>
      <c r="E15" s="720">
        <v>0</v>
      </c>
      <c r="F15" s="720">
        <v>0</v>
      </c>
      <c r="G15" s="720">
        <v>0</v>
      </c>
      <c r="H15" s="720">
        <v>0</v>
      </c>
      <c r="I15" s="720">
        <v>0</v>
      </c>
      <c r="J15" s="720">
        <v>0</v>
      </c>
      <c r="K15" s="721">
        <v>0</v>
      </c>
    </row>
    <row r="16" spans="1:12">
      <c r="B16" s="221" t="s">
        <v>294</v>
      </c>
      <c r="C16" s="158" t="s">
        <v>128</v>
      </c>
      <c r="D16" s="719">
        <v>0</v>
      </c>
      <c r="E16" s="720">
        <v>0</v>
      </c>
      <c r="F16" s="720">
        <v>0</v>
      </c>
      <c r="G16" s="720">
        <v>0</v>
      </c>
      <c r="H16" s="720">
        <v>0</v>
      </c>
      <c r="I16" s="720">
        <v>0</v>
      </c>
      <c r="J16" s="720">
        <v>0</v>
      </c>
      <c r="K16" s="721">
        <v>0</v>
      </c>
    </row>
    <row r="17" spans="2:13">
      <c r="B17" s="221" t="s">
        <v>298</v>
      </c>
      <c r="C17" s="158" t="s">
        <v>128</v>
      </c>
      <c r="D17" s="719">
        <v>0</v>
      </c>
      <c r="E17" s="720">
        <v>0</v>
      </c>
      <c r="F17" s="720">
        <v>0</v>
      </c>
      <c r="G17" s="720">
        <v>0</v>
      </c>
      <c r="H17" s="720">
        <v>0</v>
      </c>
      <c r="I17" s="720">
        <v>0</v>
      </c>
      <c r="J17" s="720">
        <v>0</v>
      </c>
      <c r="K17" s="721">
        <v>0</v>
      </c>
    </row>
    <row r="18" spans="2:13">
      <c r="B18" s="221" t="s">
        <v>299</v>
      </c>
      <c r="C18" s="158" t="s">
        <v>128</v>
      </c>
      <c r="D18" s="719">
        <v>0</v>
      </c>
      <c r="E18" s="720">
        <v>0</v>
      </c>
      <c r="F18" s="720">
        <v>0</v>
      </c>
      <c r="G18" s="720">
        <v>0</v>
      </c>
      <c r="H18" s="720">
        <v>0</v>
      </c>
      <c r="I18" s="720">
        <v>0</v>
      </c>
      <c r="J18" s="720">
        <v>0</v>
      </c>
      <c r="K18" s="721">
        <v>0</v>
      </c>
    </row>
    <row r="19" spans="2:13">
      <c r="B19" s="221" t="s">
        <v>300</v>
      </c>
      <c r="C19" s="158" t="s">
        <v>128</v>
      </c>
      <c r="D19" s="719">
        <v>0</v>
      </c>
      <c r="E19" s="720">
        <v>0</v>
      </c>
      <c r="F19" s="720">
        <v>0</v>
      </c>
      <c r="G19" s="720">
        <v>0</v>
      </c>
      <c r="H19" s="720">
        <v>0</v>
      </c>
      <c r="I19" s="720">
        <v>0</v>
      </c>
      <c r="J19" s="720">
        <v>0</v>
      </c>
      <c r="K19" s="721">
        <v>0</v>
      </c>
    </row>
    <row r="20" spans="2:13">
      <c r="B20" s="221" t="s">
        <v>301</v>
      </c>
      <c r="C20" s="158" t="s">
        <v>128</v>
      </c>
      <c r="D20" s="719">
        <v>0</v>
      </c>
      <c r="E20" s="720">
        <v>0</v>
      </c>
      <c r="F20" s="720">
        <v>0</v>
      </c>
      <c r="G20" s="720">
        <v>0</v>
      </c>
      <c r="H20" s="720">
        <v>0</v>
      </c>
      <c r="I20" s="720">
        <v>0</v>
      </c>
      <c r="J20" s="720">
        <v>0</v>
      </c>
      <c r="K20" s="721">
        <v>0</v>
      </c>
    </row>
    <row r="21" spans="2:13">
      <c r="B21" s="221" t="s">
        <v>302</v>
      </c>
      <c r="C21" s="158" t="s">
        <v>128</v>
      </c>
      <c r="D21" s="719">
        <v>0</v>
      </c>
      <c r="E21" s="720">
        <v>0</v>
      </c>
      <c r="F21" s="720">
        <v>0</v>
      </c>
      <c r="G21" s="720">
        <v>0</v>
      </c>
      <c r="H21" s="720">
        <v>0</v>
      </c>
      <c r="I21" s="720">
        <v>0</v>
      </c>
      <c r="J21" s="720">
        <v>0</v>
      </c>
      <c r="K21" s="721">
        <v>0</v>
      </c>
    </row>
    <row r="22" spans="2:13">
      <c r="B22" s="221" t="s">
        <v>303</v>
      </c>
      <c r="C22" s="158" t="s">
        <v>128</v>
      </c>
      <c r="D22" s="719">
        <v>0</v>
      </c>
      <c r="E22" s="720">
        <v>0</v>
      </c>
      <c r="F22" s="720">
        <v>0</v>
      </c>
      <c r="G22" s="720">
        <v>0</v>
      </c>
      <c r="H22" s="720">
        <v>0</v>
      </c>
      <c r="I22" s="720">
        <v>0</v>
      </c>
      <c r="J22" s="720">
        <v>0</v>
      </c>
      <c r="K22" s="721">
        <v>0</v>
      </c>
    </row>
    <row r="23" spans="2:13">
      <c r="B23" s="14" t="s">
        <v>320</v>
      </c>
      <c r="C23" s="241" t="s">
        <v>128</v>
      </c>
      <c r="D23" s="722">
        <f>SUM(D10:D22)</f>
        <v>731.8</v>
      </c>
      <c r="E23" s="722">
        <f t="shared" ref="E23:K23" si="2">SUM(E10:E22)</f>
        <v>1041.9000000000001</v>
      </c>
      <c r="F23" s="722">
        <f t="shared" si="2"/>
        <v>1183.4000000000001</v>
      </c>
      <c r="G23" s="722">
        <f t="shared" si="2"/>
        <v>1188.5</v>
      </c>
      <c r="H23" s="722">
        <f t="shared" si="2"/>
        <v>1263.2</v>
      </c>
      <c r="I23" s="722">
        <f t="shared" si="2"/>
        <v>1351.6</v>
      </c>
      <c r="J23" s="722">
        <f t="shared" si="2"/>
        <v>1217.5999999999999</v>
      </c>
      <c r="K23" s="723">
        <f t="shared" si="2"/>
        <v>1095.5999999999999</v>
      </c>
      <c r="L23" s="2"/>
      <c r="M23" s="338"/>
    </row>
    <row r="24" spans="2:13">
      <c r="B24" s="14"/>
      <c r="C24" s="158"/>
      <c r="D24" s="245"/>
      <c r="E24" s="245"/>
      <c r="F24" s="245"/>
      <c r="G24" s="245"/>
      <c r="H24" s="245"/>
      <c r="I24" s="245"/>
      <c r="J24" s="245"/>
      <c r="K24" s="245"/>
      <c r="L24" s="2"/>
      <c r="M24" s="2"/>
    </row>
    <row r="25" spans="2:13">
      <c r="B25" s="14" t="s">
        <v>123</v>
      </c>
      <c r="C25" s="16"/>
      <c r="D25" s="246"/>
      <c r="E25" s="246"/>
      <c r="F25" s="246"/>
      <c r="G25" s="246"/>
      <c r="H25" s="246"/>
      <c r="I25" s="246"/>
      <c r="J25" s="246"/>
      <c r="K25" s="246"/>
      <c r="L25" s="2"/>
      <c r="M25" s="2"/>
    </row>
    <row r="26" spans="2:13">
      <c r="B26" s="387" t="s">
        <v>518</v>
      </c>
      <c r="C26" s="158" t="s">
        <v>128</v>
      </c>
      <c r="D26" s="395">
        <v>0</v>
      </c>
      <c r="E26" s="396">
        <v>0</v>
      </c>
      <c r="F26" s="396">
        <v>0</v>
      </c>
      <c r="G26" s="396">
        <v>0</v>
      </c>
      <c r="H26" s="396">
        <v>0</v>
      </c>
      <c r="I26" s="396">
        <v>0</v>
      </c>
      <c r="J26" s="396">
        <v>0</v>
      </c>
      <c r="K26" s="400">
        <v>0</v>
      </c>
      <c r="L26" s="2"/>
      <c r="M26" s="2"/>
    </row>
    <row r="27" spans="2:13">
      <c r="B27" s="387" t="s">
        <v>8</v>
      </c>
      <c r="C27" s="158" t="s">
        <v>128</v>
      </c>
      <c r="D27" s="362">
        <v>0</v>
      </c>
      <c r="E27" s="397">
        <v>0</v>
      </c>
      <c r="F27" s="397">
        <v>0</v>
      </c>
      <c r="G27" s="397">
        <v>0</v>
      </c>
      <c r="H27" s="397">
        <v>0</v>
      </c>
      <c r="I27" s="397">
        <v>0</v>
      </c>
      <c r="J27" s="397">
        <v>0</v>
      </c>
      <c r="K27" s="401">
        <v>0</v>
      </c>
      <c r="L27" s="36"/>
      <c r="M27" s="36"/>
    </row>
    <row r="28" spans="2:13">
      <c r="B28" s="387" t="s">
        <v>9</v>
      </c>
      <c r="C28" s="158" t="s">
        <v>128</v>
      </c>
      <c r="D28" s="362">
        <v>0</v>
      </c>
      <c r="E28" s="397">
        <v>0</v>
      </c>
      <c r="F28" s="397">
        <v>0</v>
      </c>
      <c r="G28" s="397">
        <v>0</v>
      </c>
      <c r="H28" s="397">
        <v>0</v>
      </c>
      <c r="I28" s="397">
        <v>0</v>
      </c>
      <c r="J28" s="397">
        <v>0</v>
      </c>
      <c r="K28" s="401">
        <v>0</v>
      </c>
      <c r="L28" s="36"/>
      <c r="M28" s="36"/>
    </row>
    <row r="29" spans="2:13">
      <c r="B29" s="387" t="s">
        <v>10</v>
      </c>
      <c r="C29" s="158" t="s">
        <v>128</v>
      </c>
      <c r="D29" s="362">
        <v>0</v>
      </c>
      <c r="E29" s="397">
        <v>0</v>
      </c>
      <c r="F29" s="397">
        <v>0</v>
      </c>
      <c r="G29" s="397">
        <v>0</v>
      </c>
      <c r="H29" s="397">
        <v>0</v>
      </c>
      <c r="I29" s="397">
        <v>0</v>
      </c>
      <c r="J29" s="397">
        <v>0</v>
      </c>
      <c r="K29" s="401">
        <v>0</v>
      </c>
      <c r="L29" s="36"/>
      <c r="M29" s="36"/>
    </row>
    <row r="30" spans="2:13">
      <c r="B30" s="387" t="s">
        <v>572</v>
      </c>
      <c r="C30" s="158" t="s">
        <v>128</v>
      </c>
      <c r="D30" s="362">
        <v>0</v>
      </c>
      <c r="E30" s="397">
        <v>0</v>
      </c>
      <c r="F30" s="397">
        <v>0</v>
      </c>
      <c r="G30" s="397">
        <v>0</v>
      </c>
      <c r="H30" s="397">
        <v>0</v>
      </c>
      <c r="I30" s="397">
        <v>0</v>
      </c>
      <c r="J30" s="397">
        <v>0</v>
      </c>
      <c r="K30" s="401">
        <v>0</v>
      </c>
    </row>
    <row r="31" spans="2:13">
      <c r="B31" s="387" t="s">
        <v>573</v>
      </c>
      <c r="C31" s="158" t="s">
        <v>128</v>
      </c>
      <c r="D31" s="362">
        <v>0</v>
      </c>
      <c r="E31" s="397">
        <v>0</v>
      </c>
      <c r="F31" s="397">
        <v>0</v>
      </c>
      <c r="G31" s="397">
        <v>0</v>
      </c>
      <c r="H31" s="397">
        <v>0</v>
      </c>
      <c r="I31" s="397">
        <v>0</v>
      </c>
      <c r="J31" s="397">
        <v>0</v>
      </c>
      <c r="K31" s="401">
        <v>0</v>
      </c>
    </row>
    <row r="32" spans="2:13" ht="12.75" customHeight="1">
      <c r="B32" s="387" t="s">
        <v>574</v>
      </c>
      <c r="C32" s="158" t="s">
        <v>128</v>
      </c>
      <c r="D32" s="362">
        <v>0</v>
      </c>
      <c r="E32" s="397">
        <v>0</v>
      </c>
      <c r="F32" s="397">
        <v>0</v>
      </c>
      <c r="G32" s="397">
        <v>0</v>
      </c>
      <c r="H32" s="397">
        <v>0</v>
      </c>
      <c r="I32" s="397">
        <v>0</v>
      </c>
      <c r="J32" s="397">
        <v>0</v>
      </c>
      <c r="K32" s="401">
        <v>0</v>
      </c>
    </row>
    <row r="33" spans="2:12">
      <c r="B33" s="387" t="s">
        <v>575</v>
      </c>
      <c r="C33" s="158" t="s">
        <v>128</v>
      </c>
      <c r="D33" s="362">
        <v>0</v>
      </c>
      <c r="E33" s="397">
        <v>0</v>
      </c>
      <c r="F33" s="397">
        <v>0</v>
      </c>
      <c r="G33" s="397">
        <v>0</v>
      </c>
      <c r="H33" s="397">
        <v>0</v>
      </c>
      <c r="I33" s="397">
        <v>0</v>
      </c>
      <c r="J33" s="397">
        <v>0</v>
      </c>
      <c r="K33" s="401">
        <v>0</v>
      </c>
    </row>
    <row r="34" spans="2:12">
      <c r="B34" s="387" t="s">
        <v>576</v>
      </c>
      <c r="C34" s="158" t="s">
        <v>128</v>
      </c>
      <c r="D34" s="362">
        <v>0</v>
      </c>
      <c r="E34" s="397">
        <v>0</v>
      </c>
      <c r="F34" s="397">
        <v>0</v>
      </c>
      <c r="G34" s="397">
        <v>0</v>
      </c>
      <c r="H34" s="397">
        <v>0</v>
      </c>
      <c r="I34" s="397">
        <v>0</v>
      </c>
      <c r="J34" s="397">
        <v>0</v>
      </c>
      <c r="K34" s="401">
        <v>0</v>
      </c>
    </row>
    <row r="35" spans="2:12">
      <c r="B35" s="387" t="s">
        <v>577</v>
      </c>
      <c r="C35" s="158" t="s">
        <v>128</v>
      </c>
      <c r="D35" s="362">
        <v>0</v>
      </c>
      <c r="E35" s="397">
        <v>0</v>
      </c>
      <c r="F35" s="397">
        <v>0</v>
      </c>
      <c r="G35" s="397">
        <v>0</v>
      </c>
      <c r="H35" s="397">
        <v>0</v>
      </c>
      <c r="I35" s="397">
        <v>0</v>
      </c>
      <c r="J35" s="397">
        <v>0</v>
      </c>
      <c r="K35" s="401">
        <v>0</v>
      </c>
    </row>
    <row r="36" spans="2:12">
      <c r="B36" s="387" t="s">
        <v>578</v>
      </c>
      <c r="C36" s="158" t="s">
        <v>128</v>
      </c>
      <c r="D36" s="362">
        <v>0</v>
      </c>
      <c r="E36" s="397">
        <v>0</v>
      </c>
      <c r="F36" s="397">
        <v>0</v>
      </c>
      <c r="G36" s="397">
        <v>0</v>
      </c>
      <c r="H36" s="397">
        <v>0</v>
      </c>
      <c r="I36" s="397">
        <v>0</v>
      </c>
      <c r="J36" s="397">
        <v>0</v>
      </c>
      <c r="K36" s="401">
        <v>0</v>
      </c>
    </row>
    <row r="37" spans="2:12">
      <c r="B37" s="387" t="s">
        <v>579</v>
      </c>
      <c r="C37" s="158" t="s">
        <v>128</v>
      </c>
      <c r="D37" s="362">
        <v>0</v>
      </c>
      <c r="E37" s="397">
        <v>0</v>
      </c>
      <c r="F37" s="397">
        <v>0</v>
      </c>
      <c r="G37" s="397">
        <v>0</v>
      </c>
      <c r="H37" s="397">
        <v>0</v>
      </c>
      <c r="I37" s="397">
        <v>0</v>
      </c>
      <c r="J37" s="397">
        <v>0</v>
      </c>
      <c r="K37" s="401">
        <v>0</v>
      </c>
    </row>
    <row r="38" spans="2:12">
      <c r="B38" s="387" t="s">
        <v>580</v>
      </c>
      <c r="C38" s="158" t="s">
        <v>128</v>
      </c>
      <c r="D38" s="362">
        <v>0</v>
      </c>
      <c r="E38" s="397">
        <v>0</v>
      </c>
      <c r="F38" s="397">
        <v>0</v>
      </c>
      <c r="G38" s="397">
        <v>0</v>
      </c>
      <c r="H38" s="397">
        <v>0</v>
      </c>
      <c r="I38" s="397">
        <v>0</v>
      </c>
      <c r="J38" s="397">
        <v>0</v>
      </c>
      <c r="K38" s="401">
        <v>0</v>
      </c>
    </row>
    <row r="39" spans="2:12">
      <c r="B39" s="387" t="s">
        <v>581</v>
      </c>
      <c r="C39" s="158" t="s">
        <v>128</v>
      </c>
      <c r="D39" s="362">
        <v>0</v>
      </c>
      <c r="E39" s="397">
        <v>0</v>
      </c>
      <c r="F39" s="397">
        <v>0</v>
      </c>
      <c r="G39" s="397">
        <v>0</v>
      </c>
      <c r="H39" s="397">
        <v>0</v>
      </c>
      <c r="I39" s="397">
        <v>0</v>
      </c>
      <c r="J39" s="397">
        <v>0</v>
      </c>
      <c r="K39" s="401">
        <v>0</v>
      </c>
    </row>
    <row r="40" spans="2:12">
      <c r="B40" s="387" t="s">
        <v>582</v>
      </c>
      <c r="C40" s="158" t="s">
        <v>128</v>
      </c>
      <c r="D40" s="362">
        <v>0</v>
      </c>
      <c r="E40" s="397">
        <v>0</v>
      </c>
      <c r="F40" s="397">
        <v>0</v>
      </c>
      <c r="G40" s="397">
        <v>0</v>
      </c>
      <c r="H40" s="397">
        <v>0</v>
      </c>
      <c r="I40" s="397">
        <v>0</v>
      </c>
      <c r="J40" s="397">
        <v>0</v>
      </c>
      <c r="K40" s="401">
        <v>0</v>
      </c>
    </row>
    <row r="41" spans="2:12">
      <c r="B41" s="387" t="s">
        <v>583</v>
      </c>
      <c r="C41" s="158" t="s">
        <v>128</v>
      </c>
      <c r="D41" s="398">
        <v>0</v>
      </c>
      <c r="E41" s="399">
        <v>0</v>
      </c>
      <c r="F41" s="399">
        <v>0</v>
      </c>
      <c r="G41" s="399">
        <v>0</v>
      </c>
      <c r="H41" s="399">
        <v>0</v>
      </c>
      <c r="I41" s="399">
        <v>0</v>
      </c>
      <c r="J41" s="399">
        <v>0</v>
      </c>
      <c r="K41" s="402">
        <v>0</v>
      </c>
    </row>
    <row r="42" spans="2:12">
      <c r="B42" s="207" t="s">
        <v>234</v>
      </c>
      <c r="C42" s="158" t="s">
        <v>128</v>
      </c>
      <c r="D42" s="730">
        <f>SUM(D23,D26:D41)</f>
        <v>731.8</v>
      </c>
      <c r="E42" s="731">
        <f t="shared" ref="E42:K42" si="3">SUM(E23,E26:E41)</f>
        <v>1041.9000000000001</v>
      </c>
      <c r="F42" s="731">
        <f t="shared" si="3"/>
        <v>1183.4000000000001</v>
      </c>
      <c r="G42" s="731">
        <f t="shared" si="3"/>
        <v>1188.5</v>
      </c>
      <c r="H42" s="731">
        <f t="shared" si="3"/>
        <v>1263.2</v>
      </c>
      <c r="I42" s="732">
        <f t="shared" si="3"/>
        <v>1351.6</v>
      </c>
      <c r="J42" s="732">
        <f t="shared" si="3"/>
        <v>1217.5999999999999</v>
      </c>
      <c r="K42" s="733">
        <f t="shared" si="3"/>
        <v>1095.5999999999999</v>
      </c>
    </row>
    <row r="43" spans="2:12">
      <c r="B43" s="388" t="s">
        <v>307</v>
      </c>
      <c r="C43" s="158" t="s">
        <v>128</v>
      </c>
      <c r="D43" s="734"/>
      <c r="E43" s="735"/>
      <c r="F43" s="735"/>
      <c r="G43" s="736"/>
      <c r="H43" s="736"/>
      <c r="I43" s="736"/>
      <c r="J43" s="736">
        <v>226.51988080378092</v>
      </c>
      <c r="K43" s="737">
        <v>368.47542510069832</v>
      </c>
    </row>
    <row r="44" spans="2:12">
      <c r="B44" s="361" t="s">
        <v>423</v>
      </c>
      <c r="C44" s="158" t="s">
        <v>128</v>
      </c>
      <c r="D44" s="95">
        <f>SUM(D42:D43)</f>
        <v>731.8</v>
      </c>
      <c r="E44" s="96">
        <f t="shared" ref="E44:K44" si="4">SUM(E42:E43)</f>
        <v>1041.9000000000001</v>
      </c>
      <c r="F44" s="96">
        <f t="shared" si="4"/>
        <v>1183.4000000000001</v>
      </c>
      <c r="G44" s="96">
        <f t="shared" si="4"/>
        <v>1188.5</v>
      </c>
      <c r="H44" s="96">
        <f t="shared" si="4"/>
        <v>1263.2</v>
      </c>
      <c r="I44" s="96">
        <f t="shared" si="4"/>
        <v>1351.6</v>
      </c>
      <c r="J44" s="96">
        <f t="shared" si="4"/>
        <v>1444.1198808037809</v>
      </c>
      <c r="K44" s="97">
        <f t="shared" si="4"/>
        <v>1464.0754251006983</v>
      </c>
    </row>
    <row r="45" spans="2:12">
      <c r="D45" s="232" t="e">
        <f>IF(ABS(D42-#REF!)&lt;'RFPR cover'!$F$14,"OK","Error")</f>
        <v>#REF!</v>
      </c>
      <c r="E45" s="233" t="e">
        <f>IF(ABS(E42-#REF!)&lt;'RFPR cover'!$F$14,"OK","Error")</f>
        <v>#REF!</v>
      </c>
      <c r="F45" s="233" t="e">
        <f>IF(ABS(F42-#REF!)&lt;'RFPR cover'!$F$14,"OK","Error")</f>
        <v>#REF!</v>
      </c>
      <c r="G45" s="233" t="e">
        <f>IF(ABS(G42-#REF!)&lt;'RFPR cover'!$F$14,"OK","Error")</f>
        <v>#REF!</v>
      </c>
      <c r="H45" s="233" t="e">
        <f>IF(ABS(H42-#REF!)&lt;'RFPR cover'!$F$14,"OK","Error")</f>
        <v>#REF!</v>
      </c>
      <c r="I45" s="233" t="e">
        <f>IF(ABS(I42-#REF!)&lt;'RFPR cover'!$F$14,"OK","Error")</f>
        <v>#REF!</v>
      </c>
      <c r="J45" s="233" t="e">
        <f>IF(ABS(J42-#REF!)&lt;'RFPR cover'!$F$14,"OK","Error")</f>
        <v>#REF!</v>
      </c>
      <c r="K45" s="234" t="e">
        <f>IF(ABS(K42-#REF!)&lt;'RFPR cover'!$F$14,"OK","Error")</f>
        <v>#REF!</v>
      </c>
    </row>
    <row r="47" spans="2:12">
      <c r="B47" s="852" t="s">
        <v>424</v>
      </c>
      <c r="C47" s="158" t="s">
        <v>128</v>
      </c>
      <c r="D47" s="867">
        <v>527.20000000000005</v>
      </c>
      <c r="E47" s="96">
        <f>D48</f>
        <v>731.8</v>
      </c>
      <c r="F47" s="96">
        <f t="shared" ref="F47:K47" si="5">E48</f>
        <v>1041.9000000000001</v>
      </c>
      <c r="G47" s="96">
        <f t="shared" si="5"/>
        <v>1183.4000000000001</v>
      </c>
      <c r="H47" s="96">
        <f t="shared" si="5"/>
        <v>1188.5</v>
      </c>
      <c r="I47" s="96">
        <f t="shared" si="5"/>
        <v>1263.2</v>
      </c>
      <c r="J47" s="96">
        <f t="shared" si="5"/>
        <v>1351.6</v>
      </c>
      <c r="K47" s="97">
        <f t="shared" si="5"/>
        <v>1444.1198808037809</v>
      </c>
    </row>
    <row r="48" spans="2:12">
      <c r="B48" s="852" t="s">
        <v>425</v>
      </c>
      <c r="C48" s="158" t="s">
        <v>128</v>
      </c>
      <c r="D48" s="603">
        <f>D44</f>
        <v>731.8</v>
      </c>
      <c r="E48" s="604">
        <f>E44</f>
        <v>1041.9000000000001</v>
      </c>
      <c r="F48" s="604">
        <f t="shared" ref="F48:K48" si="6">F44</f>
        <v>1183.4000000000001</v>
      </c>
      <c r="G48" s="604">
        <f t="shared" si="6"/>
        <v>1188.5</v>
      </c>
      <c r="H48" s="604">
        <f t="shared" si="6"/>
        <v>1263.2</v>
      </c>
      <c r="I48" s="604">
        <f t="shared" si="6"/>
        <v>1351.6</v>
      </c>
      <c r="J48" s="604">
        <f t="shared" si="6"/>
        <v>1444.1198808037809</v>
      </c>
      <c r="K48" s="866">
        <f t="shared" si="6"/>
        <v>1464.0754251006983</v>
      </c>
      <c r="L48" s="851"/>
    </row>
    <row r="49" spans="2:13">
      <c r="D49" s="23"/>
      <c r="E49" s="23"/>
      <c r="F49" s="23"/>
      <c r="G49" s="23"/>
      <c r="H49" s="23"/>
      <c r="I49" s="23"/>
      <c r="J49" s="23"/>
      <c r="K49" s="23"/>
    </row>
    <row r="50" spans="2:13">
      <c r="B50" s="14" t="s">
        <v>124</v>
      </c>
    </row>
    <row r="51" spans="2:13">
      <c r="B51" t="s">
        <v>125</v>
      </c>
      <c r="C51" s="503" t="s">
        <v>7</v>
      </c>
      <c r="D51" s="497">
        <v>0</v>
      </c>
      <c r="E51" s="498">
        <v>0</v>
      </c>
      <c r="F51" s="498">
        <v>0</v>
      </c>
      <c r="G51" s="498">
        <v>0</v>
      </c>
      <c r="H51" s="498">
        <v>0</v>
      </c>
      <c r="I51" s="498">
        <v>0</v>
      </c>
      <c r="J51" s="498">
        <v>0</v>
      </c>
      <c r="K51" s="499">
        <v>0</v>
      </c>
    </row>
    <row r="52" spans="2:13">
      <c r="B52" t="s">
        <v>126</v>
      </c>
      <c r="C52" s="503" t="s">
        <v>7</v>
      </c>
      <c r="D52" s="509">
        <f>1-D51</f>
        <v>1</v>
      </c>
      <c r="E52" s="510">
        <f t="shared" ref="E52:K52" si="7">1-E51</f>
        <v>1</v>
      </c>
      <c r="F52" s="510">
        <f t="shared" si="7"/>
        <v>1</v>
      </c>
      <c r="G52" s="510">
        <f t="shared" si="7"/>
        <v>1</v>
      </c>
      <c r="H52" s="510">
        <f t="shared" si="7"/>
        <v>1</v>
      </c>
      <c r="I52" s="510">
        <f t="shared" si="7"/>
        <v>1</v>
      </c>
      <c r="J52" s="510">
        <f t="shared" si="7"/>
        <v>1</v>
      </c>
      <c r="K52" s="511">
        <f t="shared" si="7"/>
        <v>1</v>
      </c>
    </row>
    <row r="53" spans="2:13">
      <c r="C53" s="851"/>
      <c r="D53" s="851"/>
      <c r="E53" s="851"/>
      <c r="F53" s="851"/>
      <c r="G53" s="851"/>
      <c r="H53" s="851"/>
      <c r="I53" s="851"/>
      <c r="J53" s="851"/>
      <c r="K53" s="851"/>
      <c r="L53" s="851"/>
    </row>
    <row r="54" spans="2:13">
      <c r="B54" s="208" t="s">
        <v>447</v>
      </c>
      <c r="C54" s="276" t="s">
        <v>128</v>
      </c>
      <c r="D54" s="738">
        <f>AVERAGE(D47:D48)*D52</f>
        <v>629.5</v>
      </c>
      <c r="E54" s="739">
        <f t="shared" ref="E54:K54" si="8">AVERAGE(E47:E48)*E52</f>
        <v>886.85</v>
      </c>
      <c r="F54" s="739">
        <f t="shared" si="8"/>
        <v>1112.6500000000001</v>
      </c>
      <c r="G54" s="739">
        <f t="shared" si="8"/>
        <v>1185.95</v>
      </c>
      <c r="H54" s="739">
        <f t="shared" si="8"/>
        <v>1225.8499999999999</v>
      </c>
      <c r="I54" s="739">
        <f t="shared" si="8"/>
        <v>1307.4000000000001</v>
      </c>
      <c r="J54" s="739">
        <f t="shared" si="8"/>
        <v>1397.8599404018905</v>
      </c>
      <c r="K54" s="740">
        <f t="shared" si="8"/>
        <v>1454.0976529522395</v>
      </c>
    </row>
    <row r="55" spans="2:13">
      <c r="B55" s="208" t="s">
        <v>272</v>
      </c>
      <c r="C55" s="158" t="s">
        <v>128</v>
      </c>
      <c r="D55" s="724">
        <f>D56-D54</f>
        <v>698.68203961916197</v>
      </c>
      <c r="E55" s="725">
        <f t="shared" ref="E55:K55" si="9">E56-E54</f>
        <v>594.45105024460133</v>
      </c>
      <c r="F55" s="725">
        <f t="shared" si="9"/>
        <v>573.51124682504451</v>
      </c>
      <c r="G55" s="725">
        <f t="shared" si="9"/>
        <v>781.64388173286829</v>
      </c>
      <c r="H55" s="725">
        <f t="shared" si="9"/>
        <v>979.1981305783429</v>
      </c>
      <c r="I55" s="725">
        <f t="shared" si="9"/>
        <v>1027.2266749887849</v>
      </c>
      <c r="J55" s="725">
        <f t="shared" si="9"/>
        <v>1063.874688986054</v>
      </c>
      <c r="K55" s="726">
        <f t="shared" si="9"/>
        <v>1139.0962646804273</v>
      </c>
    </row>
    <row r="56" spans="2:13">
      <c r="B56" s="208" t="s">
        <v>494</v>
      </c>
      <c r="C56" s="158" t="s">
        <v>128</v>
      </c>
      <c r="D56" s="905">
        <f>IF(D6='RFPR cover'!$C$13,AVERAGE(('R9 - RAV'!D16*'R9 - RAV'!D36),'R9 - RAV'!D38),AVERAGE('R9 - RAV'!C38:D38))</f>
        <v>1328.182039619162</v>
      </c>
      <c r="E56" s="905">
        <f>IF(E6='RFPR cover'!$C$13,AVERAGE(('R9 - RAV'!E16*'R9 - RAV'!E36),'R9 - RAV'!E38),AVERAGE('R9 - RAV'!D38:E38))</f>
        <v>1481.3010502446014</v>
      </c>
      <c r="F56" s="905">
        <f>IF(F6='RFPR cover'!$C$13,AVERAGE(('R9 - RAV'!F16*'R9 - RAV'!F36),'R9 - RAV'!F38),AVERAGE('R9 - RAV'!E38:F38))</f>
        <v>1686.1612468250446</v>
      </c>
      <c r="G56" s="905">
        <f>IF(G6='RFPR cover'!$C$13,AVERAGE(('R9 - RAV'!G16*'R9 - RAV'!G36),'R9 - RAV'!G38),AVERAGE('R9 - RAV'!F38:G38))</f>
        <v>1967.5938817328683</v>
      </c>
      <c r="H56" s="905">
        <f>IF(H6='RFPR cover'!$C$13,AVERAGE(('R9 - RAV'!H16*'R9 - RAV'!H36),'R9 - RAV'!H38),AVERAGE('R9 - RAV'!G38:H38))</f>
        <v>2205.0481305783428</v>
      </c>
      <c r="I56" s="905">
        <f>IF(I6='RFPR cover'!$C$13,AVERAGE(('R9 - RAV'!I16*'R9 - RAV'!I36),'R9 - RAV'!I38),AVERAGE('R9 - RAV'!H38:I38))</f>
        <v>2334.626674988785</v>
      </c>
      <c r="J56" s="905">
        <f>IF(J6='RFPR cover'!$C$13,AVERAGE(('R9 - RAV'!J16*'R9 - RAV'!J36),'R9 - RAV'!J38),AVERAGE('R9 - RAV'!I38:J38))</f>
        <v>2461.7346293879446</v>
      </c>
      <c r="K56" s="905">
        <f>IF(K6='RFPR cover'!$C$13,AVERAGE(('R9 - RAV'!K16*'R9 - RAV'!K36),'R9 - RAV'!K38),AVERAGE('R9 - RAV'!J38:K38))</f>
        <v>2593.1939176326669</v>
      </c>
    </row>
    <row r="57" spans="2:13">
      <c r="B57" s="208" t="s">
        <v>235</v>
      </c>
      <c r="C57" s="158" t="s">
        <v>7</v>
      </c>
      <c r="D57" s="237">
        <f>D54/D56</f>
        <v>0.47395611536841781</v>
      </c>
      <c r="E57" s="238">
        <f t="shared" ref="E57:K57" si="10">E54/E56</f>
        <v>0.59869666591646442</v>
      </c>
      <c r="F57" s="238">
        <f t="shared" si="10"/>
        <v>0.65987164756340067</v>
      </c>
      <c r="G57" s="238">
        <f t="shared" si="10"/>
        <v>0.60274125215083962</v>
      </c>
      <c r="H57" s="238">
        <f t="shared" si="10"/>
        <v>0.55592890830844699</v>
      </c>
      <c r="I57" s="238">
        <f t="shared" si="10"/>
        <v>0.56000388156546721</v>
      </c>
      <c r="J57" s="238">
        <f t="shared" si="10"/>
        <v>0.56783534817862846</v>
      </c>
      <c r="K57" s="239">
        <f t="shared" si="10"/>
        <v>0.56073618060915742</v>
      </c>
    </row>
    <row r="58" spans="2:13">
      <c r="B58" s="208" t="s">
        <v>115</v>
      </c>
      <c r="C58" s="158" t="s">
        <v>7</v>
      </c>
      <c r="D58" s="906">
        <f>'RFPR cover'!$C$12</f>
        <v>0.55000000000000004</v>
      </c>
      <c r="E58" s="907">
        <f>'RFPR cover'!$C$12</f>
        <v>0.55000000000000004</v>
      </c>
      <c r="F58" s="907">
        <f>'RFPR cover'!$C$12</f>
        <v>0.55000000000000004</v>
      </c>
      <c r="G58" s="907">
        <f>'RFPR cover'!$C$12</f>
        <v>0.55000000000000004</v>
      </c>
      <c r="H58" s="907">
        <f>'RFPR cover'!$C$12</f>
        <v>0.55000000000000004</v>
      </c>
      <c r="I58" s="907">
        <f>'RFPR cover'!$C$12</f>
        <v>0.55000000000000004</v>
      </c>
      <c r="J58" s="907">
        <f>'RFPR cover'!$C$12</f>
        <v>0.55000000000000004</v>
      </c>
      <c r="K58" s="908">
        <f>'RFPR cover'!$C$12</f>
        <v>0.55000000000000004</v>
      </c>
    </row>
    <row r="59" spans="2:13">
      <c r="B59" s="208" t="s">
        <v>236</v>
      </c>
      <c r="C59" s="158" t="s">
        <v>7</v>
      </c>
      <c r="D59" s="242">
        <f t="shared" ref="D59:K59" si="11">IF(ISBLANK(D23),"n/a",D57-D58)</f>
        <v>-7.6043884631582237E-2</v>
      </c>
      <c r="E59" s="243">
        <f t="shared" si="11"/>
        <v>4.8696665916464377E-2</v>
      </c>
      <c r="F59" s="243">
        <f t="shared" si="11"/>
        <v>0.10987164756340062</v>
      </c>
      <c r="G59" s="243">
        <f t="shared" si="11"/>
        <v>5.2741252150839579E-2</v>
      </c>
      <c r="H59" s="243">
        <f t="shared" si="11"/>
        <v>5.9289083084469452E-3</v>
      </c>
      <c r="I59" s="243">
        <f t="shared" si="11"/>
        <v>1.0003881565467165E-2</v>
      </c>
      <c r="J59" s="243">
        <f t="shared" si="11"/>
        <v>1.7835348178628418E-2</v>
      </c>
      <c r="K59" s="244">
        <f t="shared" si="11"/>
        <v>1.0736180609157375E-2</v>
      </c>
    </row>
    <row r="61" spans="2:13">
      <c r="B61" s="208" t="s">
        <v>501</v>
      </c>
      <c r="C61" s="161" t="str">
        <f>'RFPR cover'!$C$14</f>
        <v>£m 09/10</v>
      </c>
      <c r="D61" s="738">
        <f t="shared" ref="D61:K61" si="12">D63*D57</f>
        <v>525.69695420947323</v>
      </c>
      <c r="E61" s="728">
        <f t="shared" si="12"/>
        <v>728.65424810107095</v>
      </c>
      <c r="F61" s="728">
        <f t="shared" si="12"/>
        <v>903.68518294259445</v>
      </c>
      <c r="G61" s="728">
        <f t="shared" si="12"/>
        <v>940.45776423200471</v>
      </c>
      <c r="H61" s="728">
        <f t="shared" si="12"/>
        <v>942.87437313046576</v>
      </c>
      <c r="I61" s="728">
        <f t="shared" si="12"/>
        <v>976.95700225859036</v>
      </c>
      <c r="J61" s="728">
        <f t="shared" si="12"/>
        <v>1017.9764056442407</v>
      </c>
      <c r="K61" s="729">
        <f t="shared" si="12"/>
        <v>1032.4688779342748</v>
      </c>
      <c r="M61" s="337"/>
    </row>
    <row r="62" spans="2:13">
      <c r="B62" s="208" t="s">
        <v>499</v>
      </c>
      <c r="C62" s="161" t="str">
        <f>'RFPR cover'!$C$14</f>
        <v>£m 09/10</v>
      </c>
      <c r="D62" s="691">
        <f>D63*(1-D57)</f>
        <v>583.47104080803172</v>
      </c>
      <c r="E62" s="692">
        <f t="shared" ref="E62:K62" si="13">E63*(1-E57)</f>
        <v>488.4132413022179</v>
      </c>
      <c r="F62" s="692">
        <f t="shared" si="13"/>
        <v>465.80111985505397</v>
      </c>
      <c r="G62" s="692">
        <f t="shared" si="13"/>
        <v>619.84321214226463</v>
      </c>
      <c r="H62" s="692">
        <f t="shared" si="13"/>
        <v>753.15970431910841</v>
      </c>
      <c r="I62" s="692">
        <f t="shared" si="13"/>
        <v>767.59698105943289</v>
      </c>
      <c r="J62" s="692">
        <f t="shared" si="13"/>
        <v>774.75525311823526</v>
      </c>
      <c r="K62" s="693">
        <f t="shared" si="13"/>
        <v>808.80499316255577</v>
      </c>
      <c r="M62" s="337"/>
    </row>
    <row r="63" spans="2:13">
      <c r="B63" s="208" t="s">
        <v>500</v>
      </c>
      <c r="C63" s="161" t="str">
        <f>'RFPR cover'!$C$14</f>
        <v>£m 09/10</v>
      </c>
      <c r="D63" s="904">
        <f>'R9 - RAV'!D47</f>
        <v>1109.1679950175048</v>
      </c>
      <c r="E63" s="904">
        <f>'R9 - RAV'!E47</f>
        <v>1217.0674894032888</v>
      </c>
      <c r="F63" s="904">
        <f>'R9 - RAV'!F47</f>
        <v>1369.4863027976485</v>
      </c>
      <c r="G63" s="904">
        <f>'R9 - RAV'!G47</f>
        <v>1560.3009763742693</v>
      </c>
      <c r="H63" s="904">
        <f>'R9 - RAV'!H47</f>
        <v>1696.0340774495742</v>
      </c>
      <c r="I63" s="904">
        <f>'R9 - RAV'!I47</f>
        <v>1744.5539833180233</v>
      </c>
      <c r="J63" s="904">
        <f>'R9 - RAV'!J47</f>
        <v>1792.7316587624759</v>
      </c>
      <c r="K63" s="904">
        <f>'R9 - RAV'!K47</f>
        <v>1841.2738710968306</v>
      </c>
    </row>
    <row r="64" spans="2:13">
      <c r="B64" s="208" t="s">
        <v>235</v>
      </c>
      <c r="C64" s="158" t="s">
        <v>7</v>
      </c>
      <c r="D64" s="237">
        <f>D61/D63</f>
        <v>0.47395611536841786</v>
      </c>
      <c r="E64" s="238">
        <f t="shared" ref="E64:K64" si="14">E61/E63</f>
        <v>0.59869666591646442</v>
      </c>
      <c r="F64" s="238">
        <f t="shared" si="14"/>
        <v>0.65987164756340067</v>
      </c>
      <c r="G64" s="238">
        <f t="shared" si="14"/>
        <v>0.60274125215083962</v>
      </c>
      <c r="H64" s="238">
        <f t="shared" si="14"/>
        <v>0.55592890830844699</v>
      </c>
      <c r="I64" s="238">
        <f t="shared" si="14"/>
        <v>0.56000388156546721</v>
      </c>
      <c r="J64" s="238">
        <f t="shared" si="14"/>
        <v>0.56783534817862846</v>
      </c>
      <c r="K64" s="239">
        <f t="shared" si="14"/>
        <v>0.56073618060915742</v>
      </c>
    </row>
    <row r="65" spans="2:11">
      <c r="B65" s="208" t="s">
        <v>115</v>
      </c>
      <c r="C65" s="158" t="s">
        <v>7</v>
      </c>
      <c r="D65" s="906">
        <f>'RFPR cover'!$C$12</f>
        <v>0.55000000000000004</v>
      </c>
      <c r="E65" s="907">
        <f>'RFPR cover'!$C$12</f>
        <v>0.55000000000000004</v>
      </c>
      <c r="F65" s="907">
        <f>'RFPR cover'!$C$12</f>
        <v>0.55000000000000004</v>
      </c>
      <c r="G65" s="907">
        <f>'RFPR cover'!$C$12</f>
        <v>0.55000000000000004</v>
      </c>
      <c r="H65" s="907">
        <f>'RFPR cover'!$C$12</f>
        <v>0.55000000000000004</v>
      </c>
      <c r="I65" s="907">
        <f>'RFPR cover'!$C$12</f>
        <v>0.55000000000000004</v>
      </c>
      <c r="J65" s="907">
        <f>'RFPR cover'!$C$12</f>
        <v>0.55000000000000004</v>
      </c>
      <c r="K65" s="908">
        <f>'RFPR cover'!$C$12</f>
        <v>0.55000000000000004</v>
      </c>
    </row>
    <row r="66" spans="2:11">
      <c r="B66" s="208" t="s">
        <v>236</v>
      </c>
      <c r="C66" s="158" t="s">
        <v>7</v>
      </c>
      <c r="D66" s="242">
        <f t="shared" ref="D66:K66" si="15">IF(ISBLANK(D23),"n/a",D64-D65)</f>
        <v>-7.6043884631582181E-2</v>
      </c>
      <c r="E66" s="243">
        <f t="shared" si="15"/>
        <v>4.8696665916464377E-2</v>
      </c>
      <c r="F66" s="243">
        <f t="shared" si="15"/>
        <v>0.10987164756340062</v>
      </c>
      <c r="G66" s="243">
        <f t="shared" si="15"/>
        <v>5.2741252150839579E-2</v>
      </c>
      <c r="H66" s="243">
        <f t="shared" si="15"/>
        <v>5.9289083084469452E-3</v>
      </c>
      <c r="I66" s="243">
        <f t="shared" si="15"/>
        <v>1.0003881565467165E-2</v>
      </c>
      <c r="J66" s="243">
        <f t="shared" si="15"/>
        <v>1.7835348178628418E-2</v>
      </c>
      <c r="K66" s="244">
        <f t="shared" si="15"/>
        <v>1.0736180609157375E-2</v>
      </c>
    </row>
  </sheetData>
  <conditionalFormatting sqref="D6:K6">
    <cfRule type="expression" dxfId="26" priority="26">
      <formula>AND(D$5="Actuals",E$5="Forecast")</formula>
    </cfRule>
  </conditionalFormatting>
  <conditionalFormatting sqref="D5:K5">
    <cfRule type="expression" dxfId="25" priority="15">
      <formula>AND(D$5="Actuals",E$5="Forecast")</formula>
    </cfRule>
  </conditionalFormatting>
  <pageMargins left="0.70866141732283472" right="0.70866141732283472" top="0.74803149606299213" bottom="0.74803149606299213" header="0.31496062992125984" footer="0.31496062992125984"/>
  <pageSetup paperSize="9" scale="5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3" id="{D124567E-9F0B-499E-895A-A9A6A77C130B}">
            <xm:f>'R7 - Financing'!D$5="Forecast"</xm:f>
            <x14:dxf>
              <fill>
                <patternFill>
                  <bgColor theme="7" tint="0.79998168889431442"/>
                </patternFill>
              </fill>
            </x14:dxf>
          </x14:cfRule>
          <x14:cfRule type="expression" priority="14"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L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0.125" customWidth="1"/>
    <col min="3" max="3" width="14.125" style="206" customWidth="1"/>
    <col min="4" max="11" width="11.125" customWidth="1"/>
    <col min="12" max="12" width="5" customWidth="1"/>
  </cols>
  <sheetData>
    <row r="1" spans="1:12" s="32" customFormat="1" ht="20.25">
      <c r="A1" s="379" t="s">
        <v>120</v>
      </c>
      <c r="B1" s="121"/>
      <c r="C1" s="418"/>
      <c r="D1" s="121"/>
      <c r="E1" s="121"/>
      <c r="F1" s="121"/>
      <c r="G1" s="121"/>
      <c r="H1" s="121"/>
      <c r="I1" s="129"/>
      <c r="J1" s="129"/>
      <c r="K1" s="130"/>
      <c r="L1" s="380"/>
    </row>
    <row r="2" spans="1:12" s="32" customFormat="1" ht="20.25">
      <c r="A2" s="124" t="str">
        <f>'RFPR cover'!C5</f>
        <v>SPT</v>
      </c>
      <c r="B2" s="30"/>
      <c r="C2" s="227"/>
      <c r="D2" s="30"/>
      <c r="E2" s="30"/>
      <c r="F2" s="30"/>
      <c r="G2" s="30"/>
      <c r="H2" s="30"/>
      <c r="I2" s="27"/>
      <c r="J2" s="27"/>
      <c r="K2" s="27"/>
      <c r="L2" s="125"/>
    </row>
    <row r="3" spans="1:12" s="32" customFormat="1" ht="20.25">
      <c r="A3" s="269">
        <f>'RFPR cover'!C7</f>
        <v>2019</v>
      </c>
      <c r="B3" s="270"/>
      <c r="C3" s="419"/>
      <c r="D3" s="270"/>
      <c r="E3" s="270"/>
      <c r="F3" s="270"/>
      <c r="G3" s="270"/>
      <c r="H3" s="270"/>
      <c r="I3" s="263"/>
      <c r="J3" s="263"/>
      <c r="K3" s="263"/>
      <c r="L3" s="271"/>
    </row>
    <row r="4" spans="1:12" s="2" customFormat="1" ht="12.75" customHeight="1">
      <c r="C4" s="1"/>
    </row>
    <row r="5" spans="1:12" s="2" customFormat="1" ht="12.75" customHeight="1">
      <c r="B5" s="39"/>
      <c r="C5" s="228"/>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2" s="2" customFormat="1" ht="12.75" customHeight="1">
      <c r="C6" s="1"/>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2" s="2" customFormat="1">
      <c r="A7" s="36"/>
      <c r="B7" s="36"/>
      <c r="C7" s="335"/>
      <c r="D7" s="452"/>
      <c r="E7" s="452"/>
      <c r="F7" s="452"/>
      <c r="G7" s="452"/>
      <c r="H7" s="452"/>
      <c r="I7" s="452"/>
      <c r="J7" s="452"/>
      <c r="K7" s="452"/>
      <c r="L7" s="36"/>
    </row>
    <row r="8" spans="1:12" s="2" customFormat="1">
      <c r="B8" s="12" t="s">
        <v>324</v>
      </c>
    </row>
    <row r="9" spans="1:12" s="2" customFormat="1">
      <c r="B9" s="386" t="s">
        <v>323</v>
      </c>
      <c r="C9" s="386"/>
      <c r="D9" s="386"/>
      <c r="E9" s="386"/>
      <c r="F9" s="386"/>
      <c r="G9" s="386"/>
      <c r="H9" s="386"/>
      <c r="I9" s="386"/>
      <c r="J9" s="386"/>
      <c r="K9" s="386"/>
      <c r="L9" s="386"/>
    </row>
    <row r="10" spans="1:12" s="36" customFormat="1">
      <c r="B10" s="451"/>
      <c r="C10" s="451"/>
      <c r="D10" s="451"/>
      <c r="E10" s="451"/>
      <c r="F10" s="451"/>
      <c r="G10" s="451"/>
      <c r="H10" s="451"/>
      <c r="I10" s="451"/>
      <c r="J10" s="451"/>
      <c r="K10" s="451"/>
      <c r="L10" s="451"/>
    </row>
    <row r="11" spans="1:12" s="2" customFormat="1">
      <c r="B11" s="208" t="s">
        <v>322</v>
      </c>
      <c r="C11" s="218" t="str">
        <f>'RFPR cover'!$C$14</f>
        <v>£m 09/10</v>
      </c>
      <c r="D11" s="741">
        <v>1216.9495280280767</v>
      </c>
      <c r="E11" s="742">
        <v>1411.0738752051172</v>
      </c>
      <c r="F11" s="742">
        <v>1578.8656278029841</v>
      </c>
      <c r="G11" s="742">
        <v>1729.8393827032999</v>
      </c>
      <c r="H11" s="742">
        <v>1796.5833813002723</v>
      </c>
      <c r="I11" s="742">
        <v>1796.3519652238929</v>
      </c>
      <c r="J11" s="742">
        <v>1810.0776394057859</v>
      </c>
      <c r="K11" s="743">
        <v>1794.5193805677952</v>
      </c>
    </row>
    <row r="12" spans="1:12" s="2" customFormat="1"/>
    <row r="13" spans="1:12" s="2" customFormat="1">
      <c r="B13" s="12" t="s">
        <v>325</v>
      </c>
      <c r="C13" s="1"/>
      <c r="D13" s="1"/>
      <c r="E13" s="1"/>
      <c r="F13" s="1"/>
      <c r="G13" s="1"/>
      <c r="H13" s="1"/>
      <c r="I13" s="1"/>
      <c r="J13" s="1"/>
      <c r="K13" s="1"/>
    </row>
    <row r="14" spans="1:12" s="2" customFormat="1">
      <c r="B14" s="386" t="s">
        <v>347</v>
      </c>
      <c r="C14" s="336"/>
      <c r="D14" s="336"/>
      <c r="E14" s="336"/>
      <c r="F14" s="336"/>
      <c r="G14" s="336"/>
      <c r="H14" s="336"/>
      <c r="I14" s="336"/>
      <c r="J14" s="336"/>
      <c r="K14" s="336"/>
      <c r="L14" s="304"/>
    </row>
    <row r="15" spans="1:12" s="36" customFormat="1">
      <c r="B15" s="451"/>
      <c r="C15" s="335"/>
      <c r="D15" s="335"/>
      <c r="E15" s="335"/>
      <c r="F15" s="335"/>
      <c r="G15" s="335"/>
      <c r="H15" s="335"/>
      <c r="I15" s="335"/>
      <c r="J15" s="335"/>
      <c r="K15" s="335"/>
    </row>
    <row r="16" spans="1:12" s="2" customFormat="1">
      <c r="B16" s="413" t="s">
        <v>326</v>
      </c>
      <c r="C16" s="218" t="str">
        <f>'RFPR cover'!$C$14</f>
        <v>£m 09/10</v>
      </c>
      <c r="D16" s="607">
        <v>1093.7563406645438</v>
      </c>
      <c r="E16" s="744">
        <f>D29</f>
        <v>1178.0646574945251</v>
      </c>
      <c r="F16" s="744">
        <f t="shared" ref="F16:K16" si="1">E29</f>
        <v>1314.4273484402104</v>
      </c>
      <c r="G16" s="744">
        <f t="shared" si="1"/>
        <v>1489.3976799870718</v>
      </c>
      <c r="H16" s="744">
        <f t="shared" si="1"/>
        <v>1703.9396712839007</v>
      </c>
      <c r="I16" s="744">
        <f t="shared" si="1"/>
        <v>1761.9165796340699</v>
      </c>
      <c r="J16" s="744">
        <f t="shared" si="1"/>
        <v>1799.7420612129945</v>
      </c>
      <c r="K16" s="610">
        <f t="shared" si="1"/>
        <v>1857.4893936031351</v>
      </c>
    </row>
    <row r="17" spans="2:12" s="2" customFormat="1">
      <c r="B17" s="413" t="s">
        <v>327</v>
      </c>
      <c r="C17" s="218" t="str">
        <f>'RFPR cover'!$C$14</f>
        <v>£m 09/10</v>
      </c>
      <c r="D17" s="615">
        <v>0</v>
      </c>
      <c r="E17" s="616">
        <v>0</v>
      </c>
      <c r="F17" s="616">
        <v>0</v>
      </c>
      <c r="G17" s="616">
        <v>68.521626053717185</v>
      </c>
      <c r="H17" s="616">
        <v>8.0710551923917446</v>
      </c>
      <c r="I17" s="616">
        <v>0</v>
      </c>
      <c r="J17" s="616">
        <v>0</v>
      </c>
      <c r="K17" s="708">
        <v>0</v>
      </c>
    </row>
    <row r="18" spans="2:12" s="2" customFormat="1">
      <c r="B18" s="12" t="s">
        <v>328</v>
      </c>
      <c r="C18" s="218" t="str">
        <f>'RFPR cover'!$C$14</f>
        <v>£m 09/10</v>
      </c>
      <c r="D18" s="745">
        <f>SUM(D16:D17)</f>
        <v>1093.7563406645438</v>
      </c>
      <c r="E18" s="746">
        <f t="shared" ref="E18:K18" si="2">SUM(E16:E17)</f>
        <v>1178.0646574945251</v>
      </c>
      <c r="F18" s="746">
        <f t="shared" si="2"/>
        <v>1314.4273484402104</v>
      </c>
      <c r="G18" s="746">
        <f t="shared" si="2"/>
        <v>1557.919306040789</v>
      </c>
      <c r="H18" s="746">
        <f t="shared" si="2"/>
        <v>1712.0107264762923</v>
      </c>
      <c r="I18" s="746">
        <f t="shared" si="2"/>
        <v>1761.9165796340699</v>
      </c>
      <c r="J18" s="746">
        <f t="shared" si="2"/>
        <v>1799.7420612129945</v>
      </c>
      <c r="K18" s="747">
        <f t="shared" si="2"/>
        <v>1857.4893936031351</v>
      </c>
    </row>
    <row r="19" spans="2:12" s="2" customFormat="1">
      <c r="B19" s="415" t="s">
        <v>329</v>
      </c>
      <c r="C19" s="218" t="str">
        <f>'RFPR cover'!$C$14</f>
        <v>£m 09/10</v>
      </c>
      <c r="D19" s="611">
        <v>204.02118338369505</v>
      </c>
      <c r="E19" s="612">
        <v>282.03222958693163</v>
      </c>
      <c r="F19" s="612">
        <v>265.61893107205805</v>
      </c>
      <c r="G19" s="612">
        <v>192.98569552659927</v>
      </c>
      <c r="H19" s="612">
        <v>171.26099045403177</v>
      </c>
      <c r="I19" s="612">
        <v>158.3443256560395</v>
      </c>
      <c r="J19" s="612">
        <v>164.77150547266774</v>
      </c>
      <c r="K19" s="707">
        <v>125.1411938197718</v>
      </c>
    </row>
    <row r="20" spans="2:12" s="2" customFormat="1">
      <c r="B20" s="415" t="s">
        <v>336</v>
      </c>
      <c r="C20" s="218" t="str">
        <f>'RFPR cover'!$C$14</f>
        <v>£m 09/10</v>
      </c>
      <c r="D20" s="615">
        <v>-38.89230745955183</v>
      </c>
      <c r="E20" s="616">
        <v>-59.451942429276016</v>
      </c>
      <c r="F20" s="616">
        <v>3.2540581281853065</v>
      </c>
      <c r="G20" s="616">
        <v>59.724192831842657</v>
      </c>
      <c r="H20" s="616">
        <v>-7.1590497138776357</v>
      </c>
      <c r="I20" s="616">
        <v>-3.0615310646201124</v>
      </c>
      <c r="J20" s="616">
        <v>12.108893288362793</v>
      </c>
      <c r="K20" s="708">
        <v>33.477686418934823</v>
      </c>
    </row>
    <row r="21" spans="2:12" s="2" customFormat="1">
      <c r="B21" s="414" t="s">
        <v>332</v>
      </c>
      <c r="C21" s="218" t="str">
        <f>'RFPR cover'!$C$14</f>
        <v>£m 09/10</v>
      </c>
      <c r="D21" s="745">
        <f t="shared" ref="D21:K21" si="3">SUM(D19:D20)</f>
        <v>165.12887592414322</v>
      </c>
      <c r="E21" s="746">
        <f t="shared" si="3"/>
        <v>222.58028715765562</v>
      </c>
      <c r="F21" s="746">
        <f t="shared" si="3"/>
        <v>268.87298920024335</v>
      </c>
      <c r="G21" s="746">
        <f t="shared" si="3"/>
        <v>252.70988835844193</v>
      </c>
      <c r="H21" s="746">
        <f t="shared" si="3"/>
        <v>164.10194074015413</v>
      </c>
      <c r="I21" s="746">
        <f t="shared" si="3"/>
        <v>155.28279459141939</v>
      </c>
      <c r="J21" s="746">
        <f t="shared" si="3"/>
        <v>176.88039876103053</v>
      </c>
      <c r="K21" s="747">
        <f t="shared" si="3"/>
        <v>158.61888023870662</v>
      </c>
    </row>
    <row r="22" spans="2:12" s="2" customFormat="1">
      <c r="B22" s="415" t="s">
        <v>330</v>
      </c>
      <c r="C22" s="218" t="str">
        <f>'RFPR cover'!$C$14</f>
        <v>£m 09/10</v>
      </c>
      <c r="D22" s="611">
        <v>-80.820559094161823</v>
      </c>
      <c r="E22" s="612">
        <v>-87.899425723734865</v>
      </c>
      <c r="F22" s="612">
        <v>-97.849323067213959</v>
      </c>
      <c r="G22" s="612">
        <v>-110.52541208224547</v>
      </c>
      <c r="H22" s="612">
        <v>-116.1943090775426</v>
      </c>
      <c r="I22" s="612">
        <v>-119.656490289103</v>
      </c>
      <c r="J22" s="612">
        <v>-121.41125090077884</v>
      </c>
      <c r="K22" s="707">
        <v>-124.10648835402407</v>
      </c>
    </row>
    <row r="23" spans="2:12" s="2" customFormat="1">
      <c r="B23" s="415" t="s">
        <v>331</v>
      </c>
      <c r="C23" s="218" t="str">
        <f>'RFPR cover'!$C$14</f>
        <v>£m 09/10</v>
      </c>
      <c r="D23" s="615">
        <v>0</v>
      </c>
      <c r="E23" s="616">
        <v>1.6818295117644035</v>
      </c>
      <c r="F23" s="616">
        <v>3.9466654138320614</v>
      </c>
      <c r="G23" s="616">
        <v>3.8358889669151148</v>
      </c>
      <c r="H23" s="616">
        <v>1.9982214951661099</v>
      </c>
      <c r="I23" s="616">
        <v>2.1991772766082893</v>
      </c>
      <c r="J23" s="616">
        <v>2.2781845298888084</v>
      </c>
      <c r="K23" s="708">
        <v>1.989016928972682</v>
      </c>
    </row>
    <row r="24" spans="2:12" s="2" customFormat="1">
      <c r="B24" s="414" t="s">
        <v>333</v>
      </c>
      <c r="C24" s="218" t="str">
        <f>'RFPR cover'!$C$14</f>
        <v>£m 09/10</v>
      </c>
      <c r="D24" s="745">
        <f t="shared" ref="D24:K24" si="4">SUM(D22:D23)</f>
        <v>-80.820559094161823</v>
      </c>
      <c r="E24" s="746">
        <f t="shared" si="4"/>
        <v>-86.217596211970459</v>
      </c>
      <c r="F24" s="746">
        <f t="shared" si="4"/>
        <v>-93.902657653381894</v>
      </c>
      <c r="G24" s="746">
        <f t="shared" si="4"/>
        <v>-106.68952311533035</v>
      </c>
      <c r="H24" s="746">
        <f t="shared" si="4"/>
        <v>-114.19608758237649</v>
      </c>
      <c r="I24" s="746">
        <f t="shared" si="4"/>
        <v>-117.45731301249471</v>
      </c>
      <c r="J24" s="746">
        <f t="shared" si="4"/>
        <v>-119.13306637089003</v>
      </c>
      <c r="K24" s="747">
        <f t="shared" si="4"/>
        <v>-122.11747142505138</v>
      </c>
    </row>
    <row r="25" spans="2:12" s="2" customFormat="1">
      <c r="B25" s="416" t="s">
        <v>268</v>
      </c>
      <c r="C25" s="218" t="str">
        <f>'RFPR cover'!$C$14</f>
        <v>£m 09/10</v>
      </c>
      <c r="D25" s="615"/>
      <c r="E25" s="616"/>
      <c r="F25" s="616"/>
      <c r="G25" s="616"/>
      <c r="H25" s="616"/>
      <c r="I25" s="616"/>
      <c r="J25" s="616"/>
      <c r="K25" s="708"/>
    </row>
    <row r="26" spans="2:12" s="2" customFormat="1">
      <c r="B26" s="416" t="s">
        <v>268</v>
      </c>
      <c r="C26" s="218" t="str">
        <f>'RFPR cover'!$C$14</f>
        <v>£m 09/10</v>
      </c>
      <c r="D26" s="748"/>
      <c r="E26" s="749"/>
      <c r="F26" s="749"/>
      <c r="G26" s="749"/>
      <c r="H26" s="749"/>
      <c r="I26" s="749"/>
      <c r="J26" s="749"/>
      <c r="K26" s="750"/>
    </row>
    <row r="27" spans="2:12" s="2" customFormat="1">
      <c r="B27" s="416" t="s">
        <v>268</v>
      </c>
      <c r="C27" s="218" t="str">
        <f>'RFPR cover'!$C$14</f>
        <v>£m 09/10</v>
      </c>
      <c r="D27" s="748"/>
      <c r="E27" s="749"/>
      <c r="F27" s="749"/>
      <c r="G27" s="749"/>
      <c r="H27" s="749"/>
      <c r="I27" s="749"/>
      <c r="J27" s="749"/>
      <c r="K27" s="750"/>
    </row>
    <row r="28" spans="2:12" s="2" customFormat="1">
      <c r="B28" s="414" t="s">
        <v>334</v>
      </c>
      <c r="C28" s="218" t="str">
        <f>'RFPR cover'!$C$14</f>
        <v>£m 09/10</v>
      </c>
      <c r="D28" s="751">
        <f>SUM(D25:D27)</f>
        <v>0</v>
      </c>
      <c r="E28" s="752">
        <f t="shared" ref="E28:K28" si="5">SUM(E25:E27)</f>
        <v>0</v>
      </c>
      <c r="F28" s="752">
        <f t="shared" si="5"/>
        <v>0</v>
      </c>
      <c r="G28" s="752">
        <f t="shared" si="5"/>
        <v>0</v>
      </c>
      <c r="H28" s="752">
        <f t="shared" si="5"/>
        <v>0</v>
      </c>
      <c r="I28" s="752">
        <f t="shared" si="5"/>
        <v>0</v>
      </c>
      <c r="J28" s="752">
        <f t="shared" si="5"/>
        <v>0</v>
      </c>
      <c r="K28" s="753">
        <f t="shared" si="5"/>
        <v>0</v>
      </c>
    </row>
    <row r="29" spans="2:12" s="2" customFormat="1">
      <c r="B29" s="12" t="s">
        <v>335</v>
      </c>
      <c r="C29" s="218" t="str">
        <f>'RFPR cover'!$C$14</f>
        <v>£m 09/10</v>
      </c>
      <c r="D29" s="754">
        <f>D18+D21+D24+D28</f>
        <v>1178.0646574945251</v>
      </c>
      <c r="E29" s="755">
        <f t="shared" ref="E29:K29" si="6">E18+E21+E24+E28</f>
        <v>1314.4273484402104</v>
      </c>
      <c r="F29" s="755">
        <f t="shared" si="6"/>
        <v>1489.3976799870718</v>
      </c>
      <c r="G29" s="755">
        <f t="shared" si="6"/>
        <v>1703.9396712839007</v>
      </c>
      <c r="H29" s="755">
        <f t="shared" si="6"/>
        <v>1761.9165796340699</v>
      </c>
      <c r="I29" s="755">
        <f t="shared" si="6"/>
        <v>1799.7420612129945</v>
      </c>
      <c r="J29" s="755">
        <f t="shared" si="6"/>
        <v>1857.4893936031351</v>
      </c>
      <c r="K29" s="756">
        <f t="shared" si="6"/>
        <v>1893.9908024167903</v>
      </c>
    </row>
    <row r="30" spans="2:12" s="2" customFormat="1">
      <c r="B30" s="12"/>
      <c r="C30" s="218"/>
      <c r="D30" s="218"/>
      <c r="E30" s="218"/>
      <c r="F30" s="218"/>
      <c r="G30" s="218"/>
      <c r="H30" s="218"/>
      <c r="I30" s="218"/>
      <c r="J30" s="218"/>
      <c r="K30" s="218"/>
      <c r="L30" s="218"/>
    </row>
    <row r="31" spans="2:12" s="2" customFormat="1">
      <c r="B31" s="12" t="s">
        <v>497</v>
      </c>
      <c r="C31" s="218" t="str">
        <f>'RFPR cover'!$C$14</f>
        <v>£m 09/10</v>
      </c>
      <c r="D31" s="754">
        <f t="shared" ref="D31:K31" si="7">(D20+D23+D28)</f>
        <v>-38.89230745955183</v>
      </c>
      <c r="E31" s="754">
        <f t="shared" si="7"/>
        <v>-57.770112917511611</v>
      </c>
      <c r="F31" s="754">
        <f t="shared" si="7"/>
        <v>7.2007235420173679</v>
      </c>
      <c r="G31" s="754">
        <f t="shared" si="7"/>
        <v>63.560081798757771</v>
      </c>
      <c r="H31" s="754">
        <f t="shared" si="7"/>
        <v>-5.1608282187115257</v>
      </c>
      <c r="I31" s="754">
        <f t="shared" si="7"/>
        <v>-0.86235378801182305</v>
      </c>
      <c r="J31" s="754">
        <f t="shared" si="7"/>
        <v>14.387077818251601</v>
      </c>
      <c r="K31" s="754">
        <f t="shared" si="7"/>
        <v>35.466703347907504</v>
      </c>
      <c r="L31" s="218"/>
    </row>
    <row r="32" spans="2:12" s="2" customFormat="1">
      <c r="B32" s="12" t="s">
        <v>498</v>
      </c>
      <c r="C32" s="218"/>
      <c r="D32" s="538"/>
      <c r="E32" s="538"/>
      <c r="F32" s="538"/>
      <c r="G32" s="538"/>
      <c r="H32" s="538"/>
      <c r="I32" s="538"/>
      <c r="J32" s="538"/>
      <c r="K32" s="538"/>
      <c r="L32" s="218"/>
    </row>
    <row r="33" spans="2:12" s="36" customFormat="1">
      <c r="B33" s="52"/>
      <c r="C33" s="500"/>
      <c r="D33" s="501"/>
      <c r="E33" s="501"/>
      <c r="F33" s="501"/>
      <c r="G33" s="501"/>
      <c r="H33" s="501"/>
      <c r="I33" s="501"/>
      <c r="J33" s="501"/>
      <c r="K33" s="501"/>
    </row>
    <row r="34" spans="2:12" s="36" customFormat="1">
      <c r="B34" s="52" t="s">
        <v>42</v>
      </c>
      <c r="C34" s="277" t="s">
        <v>127</v>
      </c>
      <c r="D34" s="112">
        <f>Data!C$35</f>
        <v>1.1829890576408812</v>
      </c>
      <c r="E34" s="112">
        <f>Data!D$35</f>
        <v>1.1936487043894572</v>
      </c>
      <c r="F34" s="112">
        <f>Data!E$35</f>
        <v>1.2107968317676012</v>
      </c>
      <c r="G34" s="112">
        <f>Data!F$35</f>
        <v>1.2511181042513455</v>
      </c>
      <c r="H34" s="112">
        <f>Data!G$35</f>
        <v>1.2930614968924812</v>
      </c>
      <c r="I34" s="112">
        <f>Data!H$35</f>
        <v>1.3285164089040491</v>
      </c>
      <c r="J34" s="112">
        <f>Data!I$35</f>
        <v>1.3633899646377805</v>
      </c>
      <c r="K34" s="112">
        <f>Data!J$35</f>
        <v>1.4012240361564787</v>
      </c>
    </row>
    <row r="35" spans="2:12" s="32" customFormat="1">
      <c r="B35" s="38" t="s">
        <v>363</v>
      </c>
      <c r="C35" s="277" t="s">
        <v>127</v>
      </c>
      <c r="D35" s="112">
        <f>Data!C$34</f>
        <v>1.1666890673736021</v>
      </c>
      <c r="E35" s="113">
        <f>Data!D$34</f>
        <v>1.1895563269638081</v>
      </c>
      <c r="F35" s="113">
        <f>Data!E$34</f>
        <v>1.2023757108362261</v>
      </c>
      <c r="G35" s="113">
        <f>Data!F$34</f>
        <v>1.2281396135646323</v>
      </c>
      <c r="H35" s="113">
        <f>Data!G$34</f>
        <v>1.2740965949380583</v>
      </c>
      <c r="I35" s="113">
        <f>Data!H$34</f>
        <v>1.3130274787154661</v>
      </c>
      <c r="J35" s="113">
        <f>Data!I$34</f>
        <v>1.3474944500317474</v>
      </c>
      <c r="K35" s="114">
        <f>Data!J$34</f>
        <v>1.3848874210201281</v>
      </c>
      <c r="L35" s="240"/>
    </row>
    <row r="36" spans="2:12" s="32" customFormat="1">
      <c r="B36" s="178" t="s">
        <v>495</v>
      </c>
      <c r="C36" s="277" t="s">
        <v>127</v>
      </c>
      <c r="D36" s="900">
        <f>INDEX(Data!$F$14:$F$30,MATCH($D$6-1,Data!$C$14:$C$30,0),0)/IF('RFPR cover'!$C$6="ED1",Data!$E$17,Data!$E$14)</f>
        <v>1.1544860891609932</v>
      </c>
      <c r="E36" s="901"/>
      <c r="F36" s="901"/>
      <c r="G36" s="901"/>
      <c r="H36" s="901"/>
      <c r="I36" s="901"/>
      <c r="J36" s="901"/>
      <c r="K36" s="901"/>
      <c r="L36" s="240"/>
    </row>
    <row r="37" spans="2:12" s="36" customFormat="1">
      <c r="B37" s="52"/>
      <c r="C37" s="500"/>
      <c r="D37" s="501"/>
      <c r="E37" s="501"/>
      <c r="F37" s="501"/>
      <c r="G37" s="501"/>
      <c r="H37" s="501"/>
      <c r="I37" s="501"/>
      <c r="J37" s="501"/>
      <c r="K37" s="501"/>
    </row>
    <row r="38" spans="2:12" s="2" customFormat="1">
      <c r="B38" s="12" t="s">
        <v>335</v>
      </c>
      <c r="C38" s="276" t="s">
        <v>128</v>
      </c>
      <c r="D38" s="754">
        <f t="shared" ref="D38:K38" si="8">D29*D34</f>
        <v>1393.6375990094757</v>
      </c>
      <c r="E38" s="754">
        <f t="shared" si="8"/>
        <v>1568.9645014797268</v>
      </c>
      <c r="F38" s="754">
        <f t="shared" si="8"/>
        <v>1803.3579921703622</v>
      </c>
      <c r="G38" s="754">
        <f t="shared" si="8"/>
        <v>2131.8297712953745</v>
      </c>
      <c r="H38" s="754">
        <f t="shared" si="8"/>
        <v>2278.2664898613111</v>
      </c>
      <c r="I38" s="754">
        <f t="shared" si="8"/>
        <v>2390.9868601162589</v>
      </c>
      <c r="J38" s="754">
        <f t="shared" si="8"/>
        <v>2532.4823986596307</v>
      </c>
      <c r="K38" s="754">
        <f t="shared" si="8"/>
        <v>2653.9054366057026</v>
      </c>
    </row>
    <row r="39" spans="2:12" s="2" customFormat="1">
      <c r="B39" s="12"/>
      <c r="C39" s="218"/>
      <c r="D39" s="218"/>
      <c r="E39" s="218"/>
      <c r="F39" s="218"/>
      <c r="G39" s="218"/>
      <c r="H39" s="218"/>
      <c r="I39" s="218"/>
      <c r="J39" s="218"/>
      <c r="K39" s="218"/>
    </row>
    <row r="40" spans="2:12" s="2" customFormat="1">
      <c r="B40" s="529" t="s">
        <v>338</v>
      </c>
      <c r="C40" s="218" t="s">
        <v>341</v>
      </c>
      <c r="D40" s="431">
        <f>INDEX(Data!$K$73:$T$100,MATCH('RFPR cover'!$C$5,Data!$B$73:$B$100,0),MATCH('R9 - RAV'!D$6,Data!$K$72:$T$72,0))</f>
        <v>2.92E-2</v>
      </c>
      <c r="E40" s="432">
        <f>INDEX(Data!$K$73:$T$100,MATCH('RFPR cover'!$C$5,Data!$B$73:$B$100,0),MATCH('R9 - RAV'!E$6,Data!$K$72:$T$72,0))</f>
        <v>2.7199999999999998E-2</v>
      </c>
      <c r="F40" s="432">
        <f>INDEX(Data!$K$73:$T$100,MATCH('RFPR cover'!$C$5,Data!$B$73:$B$100,0),MATCH('R9 - RAV'!F$6,Data!$K$72:$T$72,0))</f>
        <v>2.5499999999999998E-2</v>
      </c>
      <c r="G40" s="432">
        <f>INDEX(Data!$K$73:$T$100,MATCH('RFPR cover'!$C$5,Data!$B$73:$B$100,0),MATCH('R9 - RAV'!G$6,Data!$K$72:$T$72,0))</f>
        <v>2.3800000000000002E-2</v>
      </c>
      <c r="H40" s="432">
        <f>INDEX(Data!$K$73:$T$100,MATCH('RFPR cover'!$C$5,Data!$B$73:$B$100,0),MATCH('R9 - RAV'!H$6,Data!$K$72:$T$72,0))</f>
        <v>2.2200000000000001E-2</v>
      </c>
      <c r="I40" s="432">
        <f>INDEX(Data!$K$73:$T$100,MATCH('RFPR cover'!$C$5,Data!$B$73:$B$100,0),MATCH('R9 - RAV'!I$6,Data!$K$72:$T$72,0))</f>
        <v>1.9099999999999999E-2</v>
      </c>
      <c r="J40" s="432">
        <f>INDEX(Data!$K$73:$T$100,MATCH('RFPR cover'!$C$5,Data!$B$73:$B$100,0),MATCH('R9 - RAV'!J$6,Data!$K$72:$T$72,0))</f>
        <v>1.5800000000000002E-2</v>
      </c>
      <c r="K40" s="433">
        <f>INDEX(Data!$K$73:$T$100,MATCH('RFPR cover'!$C$5,Data!$B$73:$B$100,0),MATCH('R9 - RAV'!K$6,Data!$K$72:$T$72,0))</f>
        <v>1.1399999999999999E-2</v>
      </c>
    </row>
    <row r="41" spans="2:12" s="2" customFormat="1">
      <c r="B41" s="529" t="s">
        <v>339</v>
      </c>
      <c r="C41" s="218" t="s">
        <v>341</v>
      </c>
      <c r="D41" s="434">
        <f>'RFPR cover'!$C$10</f>
        <v>7.0000000000000007E-2</v>
      </c>
      <c r="E41" s="435">
        <f>'RFPR cover'!$C$10</f>
        <v>7.0000000000000007E-2</v>
      </c>
      <c r="F41" s="435">
        <f>'RFPR cover'!$C$10</f>
        <v>7.0000000000000007E-2</v>
      </c>
      <c r="G41" s="435">
        <f>'RFPR cover'!$C$10</f>
        <v>7.0000000000000007E-2</v>
      </c>
      <c r="H41" s="435">
        <f>'RFPR cover'!$C$10</f>
        <v>7.0000000000000007E-2</v>
      </c>
      <c r="I41" s="435">
        <f>'RFPR cover'!$C$10</f>
        <v>7.0000000000000007E-2</v>
      </c>
      <c r="J41" s="435">
        <f>'RFPR cover'!$C$10</f>
        <v>7.0000000000000007E-2</v>
      </c>
      <c r="K41" s="436">
        <f>'RFPR cover'!$C$10</f>
        <v>7.0000000000000007E-2</v>
      </c>
    </row>
    <row r="42" spans="2:12" s="2" customFormat="1">
      <c r="B42" s="529" t="s">
        <v>340</v>
      </c>
      <c r="C42" s="218" t="s">
        <v>7</v>
      </c>
      <c r="D42" s="437">
        <f>'RFPR cover'!$C$12</f>
        <v>0.55000000000000004</v>
      </c>
      <c r="E42" s="438">
        <f>'RFPR cover'!$C$12</f>
        <v>0.55000000000000004</v>
      </c>
      <c r="F42" s="438">
        <f>'RFPR cover'!$C$12</f>
        <v>0.55000000000000004</v>
      </c>
      <c r="G42" s="438">
        <f>'RFPR cover'!$C$12</f>
        <v>0.55000000000000004</v>
      </c>
      <c r="H42" s="438">
        <f>'RFPR cover'!$C$12</f>
        <v>0.55000000000000004</v>
      </c>
      <c r="I42" s="438">
        <f>'RFPR cover'!$C$12</f>
        <v>0.55000000000000004</v>
      </c>
      <c r="J42" s="438">
        <f>'RFPR cover'!$C$12</f>
        <v>0.55000000000000004</v>
      </c>
      <c r="K42" s="439">
        <f>'RFPR cover'!$C$12</f>
        <v>0.55000000000000004</v>
      </c>
    </row>
    <row r="43" spans="2:12">
      <c r="B43" s="208" t="s">
        <v>273</v>
      </c>
      <c r="C43" s="417" t="s">
        <v>341</v>
      </c>
      <c r="D43" s="428">
        <f t="shared" ref="D43:K43" si="9">D40*D42+D41*(1-D42)</f>
        <v>4.7560000000000005E-2</v>
      </c>
      <c r="E43" s="429">
        <f t="shared" si="9"/>
        <v>4.6460000000000001E-2</v>
      </c>
      <c r="F43" s="429">
        <f t="shared" si="9"/>
        <v>4.5525000000000003E-2</v>
      </c>
      <c r="G43" s="429">
        <f t="shared" si="9"/>
        <v>4.4590000000000005E-2</v>
      </c>
      <c r="H43" s="429">
        <f t="shared" si="9"/>
        <v>4.3709999999999999E-2</v>
      </c>
      <c r="I43" s="429">
        <f t="shared" si="9"/>
        <v>4.2005000000000001E-2</v>
      </c>
      <c r="J43" s="429">
        <f t="shared" si="9"/>
        <v>4.0190000000000003E-2</v>
      </c>
      <c r="K43" s="430">
        <f t="shared" si="9"/>
        <v>3.7769999999999998E-2</v>
      </c>
      <c r="L43" s="219"/>
    </row>
    <row r="44" spans="2:12">
      <c r="C44" s="229"/>
      <c r="D44" s="224"/>
      <c r="E44" s="224"/>
      <c r="F44" s="224"/>
      <c r="G44" s="224"/>
      <c r="H44" s="224"/>
      <c r="I44" s="224"/>
      <c r="J44" s="224"/>
      <c r="K44" s="224"/>
    </row>
    <row r="45" spans="2:12">
      <c r="B45" s="389" t="s">
        <v>342</v>
      </c>
      <c r="C45" s="417" t="str">
        <f>'RFPR cover'!$C$14</f>
        <v>£m 09/10</v>
      </c>
      <c r="D45" s="95">
        <f t="shared" ref="D45:K45" si="10">D47*D42</f>
        <v>610.04239725962771</v>
      </c>
      <c r="E45" s="96">
        <f t="shared" si="10"/>
        <v>669.38711917180888</v>
      </c>
      <c r="F45" s="96">
        <f t="shared" si="10"/>
        <v>753.21746653870673</v>
      </c>
      <c r="G45" s="96">
        <f t="shared" si="10"/>
        <v>858.16553700584825</v>
      </c>
      <c r="H45" s="96">
        <f t="shared" si="10"/>
        <v>932.8187425972659</v>
      </c>
      <c r="I45" s="96">
        <f t="shared" si="10"/>
        <v>959.50469082491281</v>
      </c>
      <c r="J45" s="96">
        <f t="shared" si="10"/>
        <v>986.00241231936184</v>
      </c>
      <c r="K45" s="97">
        <f t="shared" si="10"/>
        <v>1012.7006291032569</v>
      </c>
    </row>
    <row r="46" spans="2:12">
      <c r="B46" s="389" t="s">
        <v>232</v>
      </c>
      <c r="C46" s="417" t="str">
        <f>'RFPR cover'!$C$14</f>
        <v>£m 09/10</v>
      </c>
      <c r="D46" s="544">
        <f t="shared" ref="D46:K46" si="11">D47*(1-D42)</f>
        <v>499.12559775787713</v>
      </c>
      <c r="E46" s="545">
        <f t="shared" si="11"/>
        <v>547.68037023147997</v>
      </c>
      <c r="F46" s="545">
        <f t="shared" si="11"/>
        <v>616.26883625894175</v>
      </c>
      <c r="G46" s="545">
        <f t="shared" si="11"/>
        <v>702.13543936842109</v>
      </c>
      <c r="H46" s="545">
        <f t="shared" si="11"/>
        <v>763.21533485230827</v>
      </c>
      <c r="I46" s="545">
        <f t="shared" si="11"/>
        <v>785.04929249311044</v>
      </c>
      <c r="J46" s="545">
        <f t="shared" si="11"/>
        <v>806.72924644311411</v>
      </c>
      <c r="K46" s="546">
        <f t="shared" si="11"/>
        <v>828.57324199357367</v>
      </c>
    </row>
    <row r="47" spans="2:12">
      <c r="B47" s="208" t="s">
        <v>231</v>
      </c>
      <c r="C47" s="218" t="str">
        <f>'RFPR cover'!$C$14</f>
        <v>£m 09/10</v>
      </c>
      <c r="D47" s="102">
        <f t="shared" ref="D47:K47" si="12">AVERAGE(D16,D29*(1/(1+D43)))</f>
        <v>1109.1679950175048</v>
      </c>
      <c r="E47" s="103">
        <f t="shared" si="12"/>
        <v>1217.0674894032888</v>
      </c>
      <c r="F47" s="103">
        <f t="shared" si="12"/>
        <v>1369.4863027976485</v>
      </c>
      <c r="G47" s="103">
        <f t="shared" si="12"/>
        <v>1560.3009763742693</v>
      </c>
      <c r="H47" s="103">
        <f t="shared" si="12"/>
        <v>1696.0340774495742</v>
      </c>
      <c r="I47" s="103">
        <f t="shared" si="12"/>
        <v>1744.5539833180233</v>
      </c>
      <c r="J47" s="103">
        <f t="shared" si="12"/>
        <v>1792.7316587624759</v>
      </c>
      <c r="K47" s="104">
        <f t="shared" si="12"/>
        <v>1841.2738710968306</v>
      </c>
    </row>
    <row r="48" spans="2:12">
      <c r="B48" s="208"/>
      <c r="C48" s="218"/>
      <c r="D48" s="218"/>
      <c r="E48" s="218"/>
      <c r="F48" s="218"/>
      <c r="G48" s="218"/>
      <c r="H48" s="218"/>
      <c r="I48" s="218"/>
      <c r="J48" s="218"/>
      <c r="K48" s="218"/>
    </row>
    <row r="49" spans="2:12">
      <c r="B49" s="389" t="s">
        <v>343</v>
      </c>
      <c r="C49" s="417" t="str">
        <f>'RFPR cover'!$C$14</f>
        <v>£m 09/10</v>
      </c>
      <c r="D49" s="757">
        <f>D40*D45</f>
        <v>17.81323799998113</v>
      </c>
      <c r="E49" s="758">
        <f t="shared" ref="D49:K50" si="13">E40*E45</f>
        <v>18.207329641473201</v>
      </c>
      <c r="F49" s="758">
        <f t="shared" si="13"/>
        <v>19.207045396737019</v>
      </c>
      <c r="G49" s="758">
        <f t="shared" si="13"/>
        <v>20.424339780739189</v>
      </c>
      <c r="H49" s="758">
        <f t="shared" si="13"/>
        <v>20.708576085659303</v>
      </c>
      <c r="I49" s="758">
        <f t="shared" si="13"/>
        <v>18.326539594755832</v>
      </c>
      <c r="J49" s="758">
        <f t="shared" si="13"/>
        <v>15.578838114645919</v>
      </c>
      <c r="K49" s="759">
        <f t="shared" si="13"/>
        <v>11.544787171777127</v>
      </c>
    </row>
    <row r="50" spans="2:12">
      <c r="B50" s="389" t="s">
        <v>229</v>
      </c>
      <c r="C50" s="417" t="str">
        <f>'RFPR cover'!$C$14</f>
        <v>£m 09/10</v>
      </c>
      <c r="D50" s="92">
        <f t="shared" si="13"/>
        <v>34.938791843051405</v>
      </c>
      <c r="E50" s="93">
        <f t="shared" si="13"/>
        <v>38.337625916203599</v>
      </c>
      <c r="F50" s="93">
        <f t="shared" si="13"/>
        <v>43.138818538125925</v>
      </c>
      <c r="G50" s="93">
        <f t="shared" si="13"/>
        <v>49.149480755789483</v>
      </c>
      <c r="H50" s="93">
        <f t="shared" si="13"/>
        <v>53.425073439661581</v>
      </c>
      <c r="I50" s="93">
        <f t="shared" si="13"/>
        <v>54.953450474517737</v>
      </c>
      <c r="J50" s="93">
        <f t="shared" si="13"/>
        <v>56.471047251017993</v>
      </c>
      <c r="K50" s="94">
        <f t="shared" si="13"/>
        <v>58.000126939550164</v>
      </c>
    </row>
    <row r="51" spans="2:12">
      <c r="B51" s="208" t="s">
        <v>345</v>
      </c>
      <c r="C51" s="417" t="str">
        <f>'RFPR cover'!$C$14</f>
        <v>£m 09/10</v>
      </c>
      <c r="D51" s="102">
        <f>SUM(D49:D50)</f>
        <v>52.752029843032531</v>
      </c>
      <c r="E51" s="103">
        <f t="shared" ref="E51:K51" si="14">SUM(E49:E50)</f>
        <v>56.544955557676801</v>
      </c>
      <c r="F51" s="103">
        <f t="shared" si="14"/>
        <v>62.345863934862948</v>
      </c>
      <c r="G51" s="103">
        <f t="shared" si="14"/>
        <v>69.573820536528672</v>
      </c>
      <c r="H51" s="103">
        <f t="shared" si="14"/>
        <v>74.133649525320891</v>
      </c>
      <c r="I51" s="103">
        <f t="shared" si="14"/>
        <v>73.279990069273566</v>
      </c>
      <c r="J51" s="103">
        <f t="shared" si="14"/>
        <v>72.049885365663911</v>
      </c>
      <c r="K51" s="104">
        <f t="shared" si="14"/>
        <v>69.544914111327287</v>
      </c>
    </row>
    <row r="53" spans="2:12" s="32" customFormat="1">
      <c r="B53" s="389" t="s">
        <v>342</v>
      </c>
      <c r="C53" s="276" t="s">
        <v>128</v>
      </c>
      <c r="D53" s="95">
        <f t="shared" ref="D53:K54" si="15">D$35*D45</f>
        <v>711.72979551719152</v>
      </c>
      <c r="E53" s="96">
        <f t="shared" si="15"/>
        <v>796.27368279890186</v>
      </c>
      <c r="F53" s="96">
        <f t="shared" si="15"/>
        <v>905.65038674373886</v>
      </c>
      <c r="G53" s="96">
        <f t="shared" si="15"/>
        <v>1053.9470909928477</v>
      </c>
      <c r="H53" s="96">
        <f t="shared" si="15"/>
        <v>1188.5011836375775</v>
      </c>
      <c r="I53" s="96">
        <f t="shared" si="15"/>
        <v>1259.8560250094981</v>
      </c>
      <c r="J53" s="96">
        <f t="shared" si="15"/>
        <v>1328.6327783182546</v>
      </c>
      <c r="K53" s="97">
        <f t="shared" si="15"/>
        <v>1402.4763625042708</v>
      </c>
      <c r="L53" s="240"/>
    </row>
    <row r="54" spans="2:12" s="32" customFormat="1">
      <c r="B54" s="389" t="s">
        <v>232</v>
      </c>
      <c r="C54" s="276" t="s">
        <v>128</v>
      </c>
      <c r="D54" s="544">
        <f t="shared" si="15"/>
        <v>582.32437815042931</v>
      </c>
      <c r="E54" s="545">
        <f t="shared" si="15"/>
        <v>651.49664956273784</v>
      </c>
      <c r="F54" s="545">
        <f t="shared" si="15"/>
        <v>740.98668006305888</v>
      </c>
      <c r="G54" s="545">
        <f t="shared" si="15"/>
        <v>862.32034717596594</v>
      </c>
      <c r="H54" s="545">
        <f t="shared" si="15"/>
        <v>972.41005933983593</v>
      </c>
      <c r="I54" s="545">
        <f t="shared" si="15"/>
        <v>1030.7912931895894</v>
      </c>
      <c r="J54" s="545">
        <f t="shared" si="15"/>
        <v>1087.06318226039</v>
      </c>
      <c r="K54" s="546">
        <f t="shared" si="15"/>
        <v>1147.4806602307667</v>
      </c>
      <c r="L54" s="240"/>
    </row>
    <row r="55" spans="2:12">
      <c r="B55" s="208" t="s">
        <v>344</v>
      </c>
      <c r="C55" s="276" t="s">
        <v>128</v>
      </c>
      <c r="D55" s="760">
        <f>SUM(D53:D54)</f>
        <v>1294.0541736676209</v>
      </c>
      <c r="E55" s="761">
        <f t="shared" ref="E55:K55" si="16">SUM(E53:E54)</f>
        <v>1447.7703323616397</v>
      </c>
      <c r="F55" s="761">
        <f t="shared" si="16"/>
        <v>1646.6370668067977</v>
      </c>
      <c r="G55" s="761">
        <f t="shared" si="16"/>
        <v>1916.2674381688137</v>
      </c>
      <c r="H55" s="761">
        <f t="shared" si="16"/>
        <v>2160.9112429774132</v>
      </c>
      <c r="I55" s="761">
        <f t="shared" si="16"/>
        <v>2290.6473181990877</v>
      </c>
      <c r="J55" s="761">
        <f t="shared" si="16"/>
        <v>2415.6959605786446</v>
      </c>
      <c r="K55" s="762">
        <f t="shared" si="16"/>
        <v>2549.9570227350378</v>
      </c>
    </row>
    <row r="56" spans="2:12" s="32" customFormat="1">
      <c r="B56" s="208"/>
      <c r="C56" s="218"/>
      <c r="D56" s="218"/>
      <c r="E56" s="218"/>
      <c r="F56" s="218"/>
      <c r="G56" s="218"/>
      <c r="H56" s="218"/>
      <c r="I56" s="218"/>
      <c r="J56" s="218"/>
      <c r="K56" s="218"/>
      <c r="L56" s="240"/>
    </row>
    <row r="57" spans="2:12" s="32" customFormat="1">
      <c r="B57" s="389" t="s">
        <v>343</v>
      </c>
      <c r="C57" s="276" t="s">
        <v>128</v>
      </c>
      <c r="D57" s="95">
        <f t="shared" ref="D57:K58" si="17">D$35*D49</f>
        <v>20.782510029101992</v>
      </c>
      <c r="E57" s="96">
        <f t="shared" si="17"/>
        <v>21.658644172130131</v>
      </c>
      <c r="F57" s="96">
        <f t="shared" si="17"/>
        <v>23.094084861965339</v>
      </c>
      <c r="G57" s="96">
        <f t="shared" si="17"/>
        <v>25.083940765629773</v>
      </c>
      <c r="H57" s="96">
        <f t="shared" si="17"/>
        <v>26.384726276754222</v>
      </c>
      <c r="I57" s="96">
        <f t="shared" si="17"/>
        <v>24.06325007768141</v>
      </c>
      <c r="J57" s="96">
        <f t="shared" si="17"/>
        <v>20.992397897428425</v>
      </c>
      <c r="K57" s="97">
        <f t="shared" si="17"/>
        <v>15.988230532548684</v>
      </c>
      <c r="L57" s="240"/>
    </row>
    <row r="58" spans="2:12">
      <c r="B58" s="389" t="s">
        <v>238</v>
      </c>
      <c r="C58" s="276" t="s">
        <v>128</v>
      </c>
      <c r="D58" s="763">
        <f t="shared" si="17"/>
        <v>40.762706470530063</v>
      </c>
      <c r="E58" s="764">
        <f t="shared" si="17"/>
        <v>45.604765469391651</v>
      </c>
      <c r="F58" s="764">
        <f t="shared" si="17"/>
        <v>51.869067604414127</v>
      </c>
      <c r="G58" s="764">
        <f t="shared" si="17"/>
        <v>60.362424302317628</v>
      </c>
      <c r="H58" s="764">
        <f t="shared" si="17"/>
        <v>68.068704153788516</v>
      </c>
      <c r="I58" s="764">
        <f t="shared" si="17"/>
        <v>72.155390523271265</v>
      </c>
      <c r="J58" s="764">
        <f t="shared" si="17"/>
        <v>76.09442275822731</v>
      </c>
      <c r="K58" s="765">
        <f t="shared" si="17"/>
        <v>80.323646216153676</v>
      </c>
    </row>
    <row r="59" spans="2:12">
      <c r="B59" s="208" t="s">
        <v>345</v>
      </c>
      <c r="C59" s="276" t="s">
        <v>128</v>
      </c>
      <c r="D59" s="102">
        <f t="shared" ref="D59:K59" si="18">SUM(D57:D58)</f>
        <v>61.545216499632055</v>
      </c>
      <c r="E59" s="103">
        <f t="shared" si="18"/>
        <v>67.263409641521775</v>
      </c>
      <c r="F59" s="103">
        <f t="shared" si="18"/>
        <v>74.963152466379469</v>
      </c>
      <c r="G59" s="103">
        <f t="shared" si="18"/>
        <v>85.446365067947397</v>
      </c>
      <c r="H59" s="103">
        <f t="shared" si="18"/>
        <v>94.453430430542738</v>
      </c>
      <c r="I59" s="103">
        <f t="shared" si="18"/>
        <v>96.218640600952682</v>
      </c>
      <c r="J59" s="103">
        <f t="shared" si="18"/>
        <v>97.086820655655742</v>
      </c>
      <c r="K59" s="104">
        <f t="shared" si="18"/>
        <v>96.31187674870236</v>
      </c>
    </row>
    <row r="60" spans="2:12">
      <c r="B60" s="14"/>
      <c r="C60" s="241"/>
      <c r="D60" s="241"/>
      <c r="E60" s="241"/>
      <c r="F60" s="241"/>
      <c r="G60" s="241"/>
      <c r="H60" s="241"/>
      <c r="I60" s="241"/>
      <c r="J60" s="241"/>
      <c r="K60" s="241"/>
    </row>
    <row r="61" spans="2:12">
      <c r="B61" s="14"/>
      <c r="C61" s="241"/>
      <c r="D61" s="241"/>
      <c r="E61" s="241"/>
      <c r="F61" s="241"/>
      <c r="G61" s="241"/>
      <c r="H61" s="241"/>
      <c r="I61" s="241"/>
      <c r="J61" s="241"/>
      <c r="K61" s="241"/>
    </row>
    <row r="62" spans="2:12">
      <c r="B62" s="14"/>
      <c r="C62" s="241"/>
      <c r="D62" s="241"/>
      <c r="E62" s="241"/>
      <c r="F62" s="241"/>
      <c r="G62" s="241"/>
      <c r="H62" s="241"/>
      <c r="I62" s="241"/>
      <c r="J62" s="241"/>
      <c r="K62" s="241"/>
    </row>
    <row r="63" spans="2:12">
      <c r="B63" s="14"/>
      <c r="C63" s="241"/>
      <c r="D63" s="241"/>
      <c r="E63" s="241"/>
      <c r="F63" s="241"/>
      <c r="G63" s="241"/>
      <c r="H63" s="241"/>
      <c r="I63" s="241"/>
      <c r="J63" s="241"/>
      <c r="K63" s="241"/>
    </row>
  </sheetData>
  <conditionalFormatting sqref="D6:K6">
    <cfRule type="expression" dxfId="22" priority="19">
      <formula>AND(D$5="Actuals",E$5="Forecast")</formula>
    </cfRule>
  </conditionalFormatting>
  <conditionalFormatting sqref="D5:K5">
    <cfRule type="expression" dxfId="21" priority="7">
      <formula>AND(D$5="Actuals",E$5="Forecast")</formula>
    </cfRule>
  </conditionalFormatting>
  <pageMargins left="0.70866141732283472" right="0.70866141732283472" top="0.74803149606299213" bottom="0.74803149606299213" header="0.31496062992125984" footer="0.31496062992125984"/>
  <pageSetup paperSize="9"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M9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4" t="s">
        <v>261</v>
      </c>
      <c r="B1" s="265"/>
      <c r="C1" s="265"/>
      <c r="D1" s="265"/>
      <c r="E1" s="265"/>
      <c r="F1" s="265"/>
      <c r="G1" s="265"/>
      <c r="H1" s="265"/>
      <c r="I1" s="266"/>
      <c r="J1" s="266"/>
      <c r="K1" s="267"/>
      <c r="L1" s="268"/>
    </row>
    <row r="2" spans="1:13" s="32" customFormat="1" ht="20.25">
      <c r="A2" s="124" t="str">
        <f>'RFPR cover'!C5</f>
        <v>SPT</v>
      </c>
      <c r="B2" s="30"/>
      <c r="C2" s="30"/>
      <c r="D2" s="30"/>
      <c r="E2" s="30"/>
      <c r="F2" s="30"/>
      <c r="G2" s="30"/>
      <c r="H2" s="30"/>
      <c r="I2" s="27"/>
      <c r="J2" s="27"/>
      <c r="K2" s="27"/>
      <c r="L2" s="125"/>
    </row>
    <row r="3" spans="1:13" s="32" customFormat="1" ht="20.25">
      <c r="A3" s="269">
        <f>'RFPR cover'!C7</f>
        <v>2019</v>
      </c>
      <c r="B3" s="270"/>
      <c r="C3" s="270"/>
      <c r="D3" s="270"/>
      <c r="E3" s="270"/>
      <c r="F3" s="270"/>
      <c r="G3" s="270"/>
      <c r="H3" s="270"/>
      <c r="I3" s="263"/>
      <c r="J3" s="263"/>
      <c r="K3" s="263"/>
      <c r="L3" s="271"/>
    </row>
    <row r="4" spans="1:13" s="32" customFormat="1" ht="12.75" customHeight="1">
      <c r="A4" s="272"/>
      <c r="B4" s="273"/>
      <c r="C4" s="272"/>
      <c r="D4" s="272"/>
      <c r="E4" s="272"/>
      <c r="F4" s="272"/>
      <c r="G4" s="272"/>
      <c r="H4" s="272"/>
      <c r="I4" s="274"/>
      <c r="J4" s="274"/>
      <c r="K4" s="274"/>
      <c r="L4" s="275"/>
      <c r="M4" s="273"/>
    </row>
    <row r="5" spans="1:13" s="2" customFormat="1" ht="12.75" customHeight="1">
      <c r="B5" s="3"/>
      <c r="C5" s="3"/>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3" s="2" customFormat="1" ht="12.75" customHeight="1">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3" s="36" customFormat="1">
      <c r="D7" s="452"/>
      <c r="E7" s="452"/>
      <c r="F7" s="452"/>
      <c r="G7" s="452"/>
      <c r="H7" s="452"/>
      <c r="I7" s="452"/>
      <c r="J7" s="452"/>
      <c r="K7" s="452"/>
    </row>
    <row r="8" spans="1:13" s="2" customFormat="1">
      <c r="B8" s="386" t="s">
        <v>353</v>
      </c>
      <c r="C8" s="304"/>
      <c r="D8" s="304"/>
      <c r="E8" s="304"/>
      <c r="F8" s="304"/>
      <c r="G8" s="304"/>
      <c r="H8" s="304"/>
      <c r="I8" s="304"/>
      <c r="J8" s="304"/>
      <c r="K8" s="304"/>
      <c r="L8" s="304"/>
    </row>
    <row r="9" spans="1:13" s="2" customFormat="1">
      <c r="B9" s="386" t="s">
        <v>457</v>
      </c>
      <c r="C9" s="304"/>
      <c r="D9" s="304"/>
      <c r="E9" s="304"/>
      <c r="F9" s="304"/>
      <c r="G9" s="304"/>
      <c r="H9" s="304"/>
      <c r="I9" s="304"/>
      <c r="J9" s="304"/>
      <c r="K9" s="304"/>
      <c r="L9" s="304"/>
    </row>
    <row r="10" spans="1:13" s="2" customFormat="1">
      <c r="B10" s="386" t="s">
        <v>354</v>
      </c>
      <c r="C10" s="304"/>
      <c r="D10" s="304"/>
      <c r="E10" s="304"/>
      <c r="F10" s="304"/>
      <c r="G10" s="304"/>
      <c r="H10" s="304"/>
      <c r="I10" s="304"/>
      <c r="J10" s="304"/>
      <c r="K10" s="304"/>
      <c r="L10" s="304"/>
    </row>
    <row r="11" spans="1:13" s="36" customFormat="1">
      <c r="B11" s="451"/>
      <c r="D11" s="279"/>
      <c r="E11" s="279"/>
      <c r="F11" s="279"/>
      <c r="G11" s="279"/>
    </row>
    <row r="12" spans="1:13">
      <c r="B12" s="207" t="s">
        <v>519</v>
      </c>
      <c r="C12" s="276" t="s">
        <v>128</v>
      </c>
      <c r="D12" s="663">
        <v>30.238674369999998</v>
      </c>
      <c r="E12" s="664">
        <v>22.623528149999999</v>
      </c>
      <c r="F12" s="664">
        <v>17.7830136</v>
      </c>
      <c r="G12" s="664">
        <v>17.432829859999998</v>
      </c>
      <c r="H12" s="664">
        <v>20.541414743718246</v>
      </c>
      <c r="I12" s="664"/>
      <c r="J12" s="664"/>
      <c r="K12" s="665"/>
    </row>
    <row r="13" spans="1:13">
      <c r="B13" s="14"/>
      <c r="C13" s="14"/>
      <c r="D13" s="279"/>
      <c r="E13" s="279"/>
      <c r="F13" s="279"/>
      <c r="G13" s="279"/>
      <c r="H13" s="766"/>
      <c r="I13" s="766"/>
      <c r="J13" s="766"/>
      <c r="K13" s="766"/>
    </row>
    <row r="14" spans="1:13">
      <c r="B14" s="14" t="s">
        <v>456</v>
      </c>
      <c r="C14" s="276"/>
      <c r="D14" s="945"/>
      <c r="E14" s="945"/>
      <c r="F14" s="945"/>
      <c r="G14" s="945"/>
      <c r="H14" s="766"/>
      <c r="I14" s="766"/>
      <c r="J14" s="766"/>
      <c r="K14" s="766"/>
    </row>
    <row r="15" spans="1:13">
      <c r="B15" s="387" t="s">
        <v>478</v>
      </c>
      <c r="C15" s="276" t="s">
        <v>128</v>
      </c>
      <c r="D15" s="619">
        <v>0</v>
      </c>
      <c r="E15" s="620">
        <v>0</v>
      </c>
      <c r="F15" s="620">
        <v>0</v>
      </c>
      <c r="G15" s="620">
        <v>0</v>
      </c>
      <c r="H15" s="620"/>
      <c r="I15" s="620"/>
      <c r="J15" s="620"/>
      <c r="K15" s="630"/>
    </row>
    <row r="16" spans="1:13">
      <c r="B16" s="453" t="s">
        <v>22</v>
      </c>
      <c r="C16" s="276" t="s">
        <v>128</v>
      </c>
      <c r="D16" s="619">
        <v>0</v>
      </c>
      <c r="E16" s="620">
        <v>0</v>
      </c>
      <c r="F16" s="620">
        <v>0</v>
      </c>
      <c r="G16" s="620">
        <v>0</v>
      </c>
      <c r="H16" s="620"/>
      <c r="I16" s="620"/>
      <c r="J16" s="620"/>
      <c r="K16" s="630"/>
    </row>
    <row r="17" spans="2:12">
      <c r="B17" s="453" t="s">
        <v>22</v>
      </c>
      <c r="C17" s="276" t="s">
        <v>128</v>
      </c>
      <c r="D17" s="619">
        <v>0</v>
      </c>
      <c r="E17" s="620">
        <v>0</v>
      </c>
      <c r="F17" s="620">
        <v>0</v>
      </c>
      <c r="G17" s="620">
        <v>0</v>
      </c>
      <c r="H17" s="620"/>
      <c r="I17" s="620"/>
      <c r="J17" s="620"/>
      <c r="K17" s="630"/>
    </row>
    <row r="18" spans="2:12">
      <c r="B18" s="453" t="s">
        <v>22</v>
      </c>
      <c r="C18" s="276" t="s">
        <v>128</v>
      </c>
      <c r="D18" s="619">
        <v>0</v>
      </c>
      <c r="E18" s="620">
        <v>0</v>
      </c>
      <c r="F18" s="620">
        <v>0</v>
      </c>
      <c r="G18" s="620">
        <v>0</v>
      </c>
      <c r="H18" s="620"/>
      <c r="I18" s="620"/>
      <c r="J18" s="620"/>
      <c r="K18" s="630"/>
    </row>
    <row r="19" spans="2:12">
      <c r="B19" s="278" t="s">
        <v>355</v>
      </c>
      <c r="C19" s="276" t="s">
        <v>128</v>
      </c>
      <c r="D19" s="767">
        <f>SUM(D15:D18)</f>
        <v>0</v>
      </c>
      <c r="E19" s="768">
        <f t="shared" ref="E19:K19" si="1">SUM(E15:E18)</f>
        <v>0</v>
      </c>
      <c r="F19" s="768">
        <f t="shared" si="1"/>
        <v>0</v>
      </c>
      <c r="G19" s="768">
        <f t="shared" si="1"/>
        <v>0</v>
      </c>
      <c r="H19" s="768">
        <f t="shared" si="1"/>
        <v>0</v>
      </c>
      <c r="I19" s="768">
        <f t="shared" si="1"/>
        <v>0</v>
      </c>
      <c r="J19" s="768">
        <f t="shared" si="1"/>
        <v>0</v>
      </c>
      <c r="K19" s="769">
        <f t="shared" si="1"/>
        <v>0</v>
      </c>
    </row>
    <row r="20" spans="2:12" s="32" customFormat="1">
      <c r="B20" s="387"/>
      <c r="C20" s="387"/>
      <c r="D20" s="770"/>
      <c r="E20" s="770"/>
      <c r="F20" s="770"/>
      <c r="G20" s="770"/>
      <c r="H20" s="770"/>
      <c r="I20" s="770"/>
      <c r="J20" s="770"/>
      <c r="K20" s="770"/>
      <c r="L20" s="387"/>
    </row>
    <row r="21" spans="2:12">
      <c r="B21" s="14" t="s">
        <v>334</v>
      </c>
      <c r="C21" s="276"/>
      <c r="D21" s="771"/>
      <c r="E21" s="771"/>
      <c r="F21" s="771"/>
      <c r="G21" s="771"/>
      <c r="H21" s="771"/>
      <c r="I21" s="771"/>
      <c r="J21" s="771"/>
      <c r="K21" s="771"/>
      <c r="L21" s="276"/>
    </row>
    <row r="22" spans="2:12">
      <c r="B22" s="387" t="s">
        <v>479</v>
      </c>
      <c r="C22" s="276" t="s">
        <v>128</v>
      </c>
      <c r="D22" s="887">
        <f>('R5 - Output Incentives'!D102)*INDEX(Data!$G$14:$G$30,MATCH('R10 - Tax'!D$6,Data!$C$14:$C$30,0),1)</f>
        <v>0.11545424999999999</v>
      </c>
      <c r="E22" s="888">
        <f>('R5 - Output Incentives'!E102)*INDEX(Data!$G$14:$G$30,MATCH('R10 - Tax'!E$6,Data!$C$14:$C$30,0),1)</f>
        <v>0</v>
      </c>
      <c r="F22" s="888">
        <f>('R5 - Output Incentives'!F102)*INDEX(Data!$G$14:$G$30,MATCH('R10 - Tax'!F$6,Data!$C$14:$C$30,0),1)</f>
        <v>0.54875781484751507</v>
      </c>
      <c r="G22" s="888">
        <f>('R5 - Output Incentives'!G102)*INDEX(Data!$G$14:$G$30,MATCH('R10 - Tax'!G$6,Data!$C$14:$C$30,0),1)</f>
        <v>0.75026953984795153</v>
      </c>
      <c r="H22" s="890">
        <f>('R5 - Output Incentives'!H102)*INDEX(Data!$G$14:$G$30,MATCH('R10 - Tax'!H$6,Data!$C$14:$C$30,0),1)</f>
        <v>1.5344547863067346</v>
      </c>
      <c r="I22" s="890">
        <f>('R5 - Output Incentives'!I102)*INDEX(Data!$G$14:$G$30,MATCH('R10 - Tax'!I$6,Data!$C$14:$C$30,0),1)</f>
        <v>1.7954253177481243</v>
      </c>
      <c r="J22" s="890">
        <f>('R5 - Output Incentives'!J102)*INDEX(Data!$G$14:$G$30,MATCH('R10 - Tax'!J$6,Data!$C$14:$C$30,0),1)</f>
        <v>1.2073347077068703</v>
      </c>
      <c r="K22" s="891">
        <f>('R5 - Output Incentives'!K102)*INDEX(Data!$G$14:$G$30,MATCH('R10 - Tax'!K$6,Data!$C$14:$C$30,0),1)</f>
        <v>0.82130096558610499</v>
      </c>
    </row>
    <row r="23" spans="2:12">
      <c r="B23" s="387" t="s">
        <v>480</v>
      </c>
      <c r="C23" s="276" t="s">
        <v>128</v>
      </c>
      <c r="D23" s="623">
        <f>('R4 - Totex'!D79-'R4 - Totex'!D81)*D39</f>
        <v>2.9390446405536577</v>
      </c>
      <c r="E23" s="625">
        <f>('R4 - Totex'!E79-'R4 - Totex'!E81)*E39</f>
        <v>0.33505799544981418</v>
      </c>
      <c r="F23" s="625">
        <f>('R4 - Totex'!F79-'R4 - Totex'!F81)*F39</f>
        <v>5.3361865493991498</v>
      </c>
      <c r="G23" s="625">
        <f>('R4 - Totex'!G79-'R4 - Totex'!G81)*G39</f>
        <v>1.7313939716851918</v>
      </c>
      <c r="H23" s="892">
        <f>('R4 - Totex'!H79-'R4 - Totex'!H81)*H39</f>
        <v>1.6708416338911583</v>
      </c>
      <c r="I23" s="892">
        <f>('R4 - Totex'!I79-'R4 - Totex'!I81)*I39</f>
        <v>1.7319876611318725</v>
      </c>
      <c r="J23" s="892">
        <f>('R4 - Totex'!J79-'R4 - Totex'!J81)*J39</f>
        <v>1.8122672848450887</v>
      </c>
      <c r="K23" s="893">
        <f>('R4 - Totex'!K79-'R4 - Totex'!K81)*K39</f>
        <v>1.2404504718136071</v>
      </c>
    </row>
    <row r="24" spans="2:12">
      <c r="B24" s="387" t="s">
        <v>481</v>
      </c>
      <c r="C24" s="276" t="s">
        <v>128</v>
      </c>
      <c r="D24" s="621"/>
      <c r="E24" s="622"/>
      <c r="F24" s="622"/>
      <c r="G24" s="622"/>
      <c r="H24" s="622"/>
      <c r="I24" s="622"/>
      <c r="J24" s="622"/>
      <c r="K24" s="631"/>
    </row>
    <row r="25" spans="2:12">
      <c r="B25" s="387" t="s">
        <v>482</v>
      </c>
      <c r="C25" s="276" t="s">
        <v>128</v>
      </c>
      <c r="D25" s="621">
        <v>0</v>
      </c>
      <c r="E25" s="622">
        <v>0</v>
      </c>
      <c r="F25" s="622">
        <v>0</v>
      </c>
      <c r="G25" s="622">
        <v>0</v>
      </c>
      <c r="H25" s="622">
        <v>0</v>
      </c>
      <c r="I25" s="622"/>
      <c r="J25" s="622"/>
      <c r="K25" s="631"/>
    </row>
    <row r="26" spans="2:12">
      <c r="B26" s="387" t="s">
        <v>483</v>
      </c>
      <c r="C26" s="276" t="s">
        <v>128</v>
      </c>
      <c r="D26" s="621">
        <v>0</v>
      </c>
      <c r="E26" s="622">
        <v>0</v>
      </c>
      <c r="F26" s="622">
        <v>0</v>
      </c>
      <c r="G26" s="622">
        <v>0</v>
      </c>
      <c r="H26" s="622">
        <v>0</v>
      </c>
      <c r="I26" s="622"/>
      <c r="J26" s="622"/>
      <c r="K26" s="631"/>
    </row>
    <row r="27" spans="2:12">
      <c r="B27" s="387" t="s">
        <v>484</v>
      </c>
      <c r="C27" s="276" t="s">
        <v>128</v>
      </c>
      <c r="D27" s="621">
        <v>0</v>
      </c>
      <c r="E27" s="622">
        <v>0</v>
      </c>
      <c r="F27" s="622">
        <v>0</v>
      </c>
      <c r="G27" s="622">
        <v>0</v>
      </c>
      <c r="H27" s="622">
        <v>0</v>
      </c>
      <c r="I27" s="622"/>
      <c r="J27" s="622"/>
      <c r="K27" s="631"/>
    </row>
    <row r="28" spans="2:12">
      <c r="B28" s="453" t="s">
        <v>537</v>
      </c>
      <c r="C28" s="276" t="s">
        <v>128</v>
      </c>
      <c r="D28" s="621">
        <v>0.63875346999999993</v>
      </c>
      <c r="E28" s="622">
        <v>-4.5804124799999997</v>
      </c>
      <c r="F28" s="622">
        <v>-3.4759838000000003</v>
      </c>
      <c r="G28" s="622">
        <v>0.28692479999999998</v>
      </c>
      <c r="H28" s="622">
        <v>0</v>
      </c>
      <c r="I28" s="622"/>
      <c r="J28" s="622"/>
      <c r="K28" s="631"/>
    </row>
    <row r="29" spans="2:12">
      <c r="B29" s="453" t="s">
        <v>538</v>
      </c>
      <c r="C29" s="276" t="s">
        <v>128</v>
      </c>
      <c r="D29" s="621">
        <v>-2.1199835400000029</v>
      </c>
      <c r="E29" s="622">
        <v>-0.84187689031891522</v>
      </c>
      <c r="F29" s="622">
        <v>0</v>
      </c>
      <c r="G29" s="622">
        <v>-0.68242393769630794</v>
      </c>
      <c r="H29" s="622">
        <v>0</v>
      </c>
      <c r="I29" s="622"/>
      <c r="J29" s="622"/>
      <c r="K29" s="631"/>
    </row>
    <row r="30" spans="2:12">
      <c r="B30" s="453" t="s">
        <v>533</v>
      </c>
      <c r="C30" s="276" t="s">
        <v>128</v>
      </c>
      <c r="D30" s="621">
        <v>0.13558500000000001</v>
      </c>
      <c r="E30" s="621">
        <v>0.1512</v>
      </c>
      <c r="F30" s="621">
        <v>0.16506000000000001</v>
      </c>
      <c r="G30" s="621">
        <v>0.21618000000000004</v>
      </c>
      <c r="H30" s="621">
        <v>0.22404682442248147</v>
      </c>
      <c r="I30" s="622"/>
      <c r="J30" s="622"/>
      <c r="K30" s="631"/>
    </row>
    <row r="31" spans="2:12">
      <c r="B31" s="453" t="s">
        <v>534</v>
      </c>
      <c r="C31" s="276" t="s">
        <v>128</v>
      </c>
      <c r="D31" s="621">
        <v>5.2751039524800003</v>
      </c>
      <c r="E31" s="621">
        <v>6.7534753272000003</v>
      </c>
      <c r="F31" s="622">
        <v>6.2481725904000003</v>
      </c>
      <c r="G31" s="622">
        <v>5.0021271216000009</v>
      </c>
      <c r="H31" s="622">
        <v>6.3653074032800001</v>
      </c>
      <c r="I31" s="622"/>
      <c r="J31" s="622"/>
      <c r="K31" s="631"/>
    </row>
    <row r="32" spans="2:12">
      <c r="B32" s="453" t="s">
        <v>22</v>
      </c>
      <c r="C32" s="276" t="s">
        <v>128</v>
      </c>
      <c r="D32" s="621">
        <v>0</v>
      </c>
      <c r="E32" s="622">
        <v>0</v>
      </c>
      <c r="F32" s="622">
        <v>0</v>
      </c>
      <c r="G32" s="622">
        <v>0</v>
      </c>
      <c r="H32" s="622">
        <v>0</v>
      </c>
      <c r="I32" s="622"/>
      <c r="J32" s="622"/>
      <c r="K32" s="631"/>
    </row>
    <row r="33" spans="2:13">
      <c r="B33" s="453" t="s">
        <v>532</v>
      </c>
      <c r="C33" s="276" t="s">
        <v>128</v>
      </c>
      <c r="D33" s="621">
        <v>7.5921684809813748</v>
      </c>
      <c r="E33" s="622">
        <v>9.8815866029656476</v>
      </c>
      <c r="F33" s="622">
        <v>-0.59531175259053093</v>
      </c>
      <c r="G33" s="622">
        <v>-1.5061864596310723</v>
      </c>
      <c r="H33" s="622">
        <v>0</v>
      </c>
      <c r="I33" s="633"/>
      <c r="J33" s="633"/>
      <c r="K33" s="634"/>
    </row>
    <row r="34" spans="2:13">
      <c r="B34" s="14" t="s">
        <v>177</v>
      </c>
      <c r="C34" s="276" t="s">
        <v>128</v>
      </c>
      <c r="D34" s="772">
        <f t="shared" ref="D34:K34" si="2">SUM(D22:D33)</f>
        <v>14.57612625401503</v>
      </c>
      <c r="E34" s="773">
        <f t="shared" si="2"/>
        <v>11.699030555296547</v>
      </c>
      <c r="F34" s="773">
        <f t="shared" si="2"/>
        <v>8.2268814020561347</v>
      </c>
      <c r="G34" s="773">
        <f t="shared" si="2"/>
        <v>5.7982850358057636</v>
      </c>
      <c r="H34" s="773">
        <f t="shared" si="2"/>
        <v>9.7946506479003741</v>
      </c>
      <c r="I34" s="773">
        <f t="shared" si="2"/>
        <v>3.5274129788799966</v>
      </c>
      <c r="J34" s="773">
        <f t="shared" si="2"/>
        <v>3.019601992551959</v>
      </c>
      <c r="K34" s="774">
        <f t="shared" si="2"/>
        <v>2.0617514373997121</v>
      </c>
    </row>
    <row r="36" spans="2:13" ht="12.75" customHeight="1">
      <c r="B36" s="852" t="s">
        <v>491</v>
      </c>
      <c r="C36" s="276" t="s">
        <v>128</v>
      </c>
      <c r="D36" s="663"/>
      <c r="E36" s="664"/>
      <c r="F36" s="664"/>
      <c r="G36" s="664"/>
      <c r="H36" s="664"/>
      <c r="I36" s="664">
        <v>15.518156789252057</v>
      </c>
      <c r="J36" s="664">
        <v>18.625712735259825</v>
      </c>
      <c r="K36" s="665">
        <v>16.543047591751783</v>
      </c>
    </row>
    <row r="37" spans="2:13" ht="12.75" customHeight="1">
      <c r="B37" s="852" t="s">
        <v>460</v>
      </c>
      <c r="C37" s="276" t="s">
        <v>128</v>
      </c>
      <c r="D37" s="772">
        <f t="shared" ref="D37:K37" si="3">D12+D36-D19-D34</f>
        <v>15.662548115984968</v>
      </c>
      <c r="E37" s="773">
        <f t="shared" si="3"/>
        <v>10.924497594703451</v>
      </c>
      <c r="F37" s="773">
        <f t="shared" si="3"/>
        <v>9.5561321979438656</v>
      </c>
      <c r="G37" s="773">
        <f t="shared" si="3"/>
        <v>11.634544824194235</v>
      </c>
      <c r="H37" s="773">
        <f t="shared" si="3"/>
        <v>10.746764095817872</v>
      </c>
      <c r="I37" s="773">
        <f t="shared" si="3"/>
        <v>11.990743810372059</v>
      </c>
      <c r="J37" s="773">
        <f t="shared" si="3"/>
        <v>15.606110742707866</v>
      </c>
      <c r="K37" s="774">
        <f t="shared" si="3"/>
        <v>14.481296154352071</v>
      </c>
    </row>
    <row r="38" spans="2:13" ht="12.75" customHeight="1">
      <c r="B38" s="504"/>
      <c r="C38" s="276"/>
      <c r="D38" s="276"/>
      <c r="E38" s="276"/>
      <c r="F38" s="276"/>
      <c r="G38" s="276"/>
      <c r="H38" s="276"/>
      <c r="I38" s="276"/>
      <c r="J38" s="276"/>
      <c r="K38" s="276"/>
    </row>
    <row r="39" spans="2:13">
      <c r="B39" s="38" t="s">
        <v>468</v>
      </c>
      <c r="C39" s="277" t="s">
        <v>127</v>
      </c>
      <c r="D39" s="112">
        <f>Data!C$34</f>
        <v>1.1666890673736021</v>
      </c>
      <c r="E39" s="112">
        <f>Data!D$34</f>
        <v>1.1895563269638081</v>
      </c>
      <c r="F39" s="112">
        <f>Data!E$34</f>
        <v>1.2023757108362261</v>
      </c>
      <c r="G39" s="112">
        <f>Data!F$34</f>
        <v>1.2281396135646323</v>
      </c>
      <c r="H39" s="112">
        <f>Data!G$34</f>
        <v>1.2740965949380583</v>
      </c>
      <c r="I39" s="112">
        <f>Data!H$34</f>
        <v>1.3130274787154661</v>
      </c>
      <c r="J39" s="112">
        <f>Data!I$34</f>
        <v>1.3474944500317474</v>
      </c>
      <c r="K39" s="112">
        <f>Data!J$34</f>
        <v>1.3848874210201281</v>
      </c>
      <c r="L39" s="276"/>
    </row>
    <row r="40" spans="2:13">
      <c r="B40" s="207"/>
      <c r="C40" s="276"/>
      <c r="D40" s="276"/>
      <c r="E40" s="276"/>
      <c r="F40" s="276"/>
      <c r="G40" s="276"/>
      <c r="H40" s="276"/>
      <c r="I40" s="276"/>
      <c r="J40" s="276"/>
      <c r="K40" s="276"/>
    </row>
    <row r="41" spans="2:13">
      <c r="B41" s="567" t="s">
        <v>461</v>
      </c>
      <c r="C41" s="417" t="str">
        <f>'RFPR cover'!$C$14</f>
        <v>£m 09/10</v>
      </c>
      <c r="D41" s="817">
        <f t="shared" ref="D41:K41" si="4">D37/D39</f>
        <v>13.424783478295371</v>
      </c>
      <c r="E41" s="818">
        <f t="shared" si="4"/>
        <v>9.1836740699676227</v>
      </c>
      <c r="F41" s="818">
        <f t="shared" si="4"/>
        <v>7.9477089497240296</v>
      </c>
      <c r="G41" s="818">
        <f t="shared" si="4"/>
        <v>9.4733079982864279</v>
      </c>
      <c r="H41" s="818">
        <f t="shared" si="4"/>
        <v>8.4348110955750091</v>
      </c>
      <c r="I41" s="818">
        <f t="shared" si="4"/>
        <v>9.1321347075710833</v>
      </c>
      <c r="J41" s="818">
        <f t="shared" si="4"/>
        <v>11.581577009345144</v>
      </c>
      <c r="K41" s="819">
        <f t="shared" si="4"/>
        <v>10.456659461665801</v>
      </c>
    </row>
    <row r="42" spans="2:13">
      <c r="B42" s="852"/>
      <c r="C42" s="852"/>
      <c r="D42" s="948"/>
      <c r="E42" s="948"/>
      <c r="F42" s="948"/>
      <c r="G42" s="948"/>
      <c r="H42" s="948"/>
      <c r="I42" s="948"/>
      <c r="J42" s="948"/>
      <c r="K42" s="948"/>
    </row>
    <row r="43" spans="2:13">
      <c r="B43" s="860" t="s">
        <v>441</v>
      </c>
      <c r="C43" s="218"/>
      <c r="D43" s="947"/>
      <c r="E43" s="218"/>
      <c r="F43" s="218"/>
      <c r="G43" s="218"/>
      <c r="H43" s="218"/>
      <c r="I43" s="218"/>
      <c r="J43" s="218"/>
      <c r="K43" s="218"/>
    </row>
    <row r="44" spans="2:13">
      <c r="B44" s="386" t="s">
        <v>429</v>
      </c>
      <c r="C44" s="454"/>
      <c r="D44" s="946"/>
      <c r="E44" s="454"/>
      <c r="F44" s="454"/>
      <c r="G44" s="454"/>
      <c r="H44" s="454"/>
      <c r="I44" s="454"/>
      <c r="J44" s="454"/>
      <c r="K44" s="454"/>
      <c r="L44" s="454"/>
      <c r="M44" s="454"/>
    </row>
    <row r="45" spans="2:13">
      <c r="D45" s="778"/>
    </row>
    <row r="46" spans="2:13" ht="12.75" customHeight="1">
      <c r="B46" s="221" t="s">
        <v>115</v>
      </c>
      <c r="C46" s="161" t="s">
        <v>7</v>
      </c>
      <c r="D46" s="925">
        <f>'RFPR cover'!$C$12</f>
        <v>0.55000000000000004</v>
      </c>
      <c r="E46" s="926">
        <f>'RFPR cover'!$C$12</f>
        <v>0.55000000000000004</v>
      </c>
      <c r="F46" s="926">
        <f>'RFPR cover'!$C$12</f>
        <v>0.55000000000000004</v>
      </c>
      <c r="G46" s="926">
        <f>'RFPR cover'!$C$12</f>
        <v>0.55000000000000004</v>
      </c>
      <c r="H46" s="926">
        <f>'RFPR cover'!$C$12</f>
        <v>0.55000000000000004</v>
      </c>
      <c r="I46" s="926">
        <f>'RFPR cover'!$C$12</f>
        <v>0.55000000000000004</v>
      </c>
      <c r="J46" s="926">
        <f>'RFPR cover'!$C$12</f>
        <v>0.55000000000000004</v>
      </c>
      <c r="K46" s="927">
        <f>'RFPR cover'!$C$12</f>
        <v>0.55000000000000004</v>
      </c>
    </row>
    <row r="47" spans="2:13" ht="12.75" customHeight="1">
      <c r="B47" s="221" t="s">
        <v>391</v>
      </c>
      <c r="C47" s="161" t="s">
        <v>7</v>
      </c>
      <c r="D47" s="925">
        <f>'R8 - Net Debt'!D57</f>
        <v>0.47395611536841781</v>
      </c>
      <c r="E47" s="926">
        <f>'R8 - Net Debt'!E57</f>
        <v>0.59869666591646442</v>
      </c>
      <c r="F47" s="926">
        <f>'R8 - Net Debt'!F57</f>
        <v>0.65987164756340067</v>
      </c>
      <c r="G47" s="926">
        <f>'R8 - Net Debt'!G57</f>
        <v>0.60274125215083962</v>
      </c>
      <c r="H47" s="926">
        <f>'R8 - Net Debt'!H57</f>
        <v>0.55592890830844699</v>
      </c>
      <c r="I47" s="926">
        <f>'R8 - Net Debt'!I57</f>
        <v>0.56000388156546721</v>
      </c>
      <c r="J47" s="926">
        <f>'R8 - Net Debt'!J57</f>
        <v>0.56783534817862846</v>
      </c>
      <c r="K47" s="927">
        <f>'R8 - Net Debt'!K57</f>
        <v>0.56073618060915742</v>
      </c>
    </row>
    <row r="48" spans="2:13" ht="12.75" customHeight="1">
      <c r="B48" s="221"/>
      <c r="C48" s="161"/>
      <c r="D48" s="161"/>
      <c r="E48" s="161"/>
      <c r="F48" s="161"/>
      <c r="G48" s="161"/>
      <c r="H48" s="161"/>
      <c r="I48" s="161"/>
      <c r="J48" s="161"/>
      <c r="K48" s="161"/>
      <c r="L48" s="161"/>
    </row>
    <row r="49" spans="2:13" ht="12.75" customHeight="1">
      <c r="B49" s="852" t="s">
        <v>461</v>
      </c>
      <c r="C49" s="276" t="s">
        <v>128</v>
      </c>
      <c r="D49" s="817">
        <f>D37</f>
        <v>15.662548115984968</v>
      </c>
      <c r="E49" s="817">
        <f t="shared" ref="E49:K49" si="5">E37</f>
        <v>10.924497594703451</v>
      </c>
      <c r="F49" s="817">
        <f t="shared" si="5"/>
        <v>9.5561321979438656</v>
      </c>
      <c r="G49" s="817">
        <f t="shared" si="5"/>
        <v>11.634544824194235</v>
      </c>
      <c r="H49" s="817">
        <f t="shared" si="5"/>
        <v>10.746764095817872</v>
      </c>
      <c r="I49" s="817">
        <f t="shared" si="5"/>
        <v>11.990743810372059</v>
      </c>
      <c r="J49" s="817">
        <f t="shared" si="5"/>
        <v>15.606110742707866</v>
      </c>
      <c r="K49" s="817">
        <f t="shared" si="5"/>
        <v>14.481296154352071</v>
      </c>
    </row>
    <row r="50" spans="2:13">
      <c r="B50" s="221" t="s">
        <v>442</v>
      </c>
      <c r="C50" s="276" t="s">
        <v>128</v>
      </c>
      <c r="D50" s="928">
        <f>-('R7 - Financing'!D65*INDEX(Data!$G$14:$G$30,MATCH('R10 - Tax'!D$6,Data!$C$14:$C$30,0),1))</f>
        <v>-0.16757994541402862</v>
      </c>
      <c r="E50" s="928">
        <f>-('R7 - Financing'!E65*INDEX(Data!$G$14:$G$30,MATCH('R10 - Tax'!E$6,Data!$C$14:$C$30,0),1))</f>
        <v>0.21381272651043962</v>
      </c>
      <c r="F50" s="928">
        <f>-('R7 - Financing'!F65*INDEX(Data!$G$14:$G$30,MATCH('R10 - Tax'!F$6,Data!$C$14:$C$30,0),1))</f>
        <v>0.82950599261189206</v>
      </c>
      <c r="G50" s="928">
        <f>-('R7 - Financing'!G65*INDEX(Data!$G$14:$G$30,MATCH('R10 - Tax'!G$6,Data!$C$14:$C$30,0),1))</f>
        <v>0.20104634361799312</v>
      </c>
      <c r="H50" s="928">
        <f>-('R7 - Financing'!H65*INDEX(Data!$G$14:$G$30,MATCH('R10 - Tax'!H$6,Data!$C$14:$C$30,0),1))</f>
        <v>-2.1420896392594667E-2</v>
      </c>
      <c r="I50" s="928">
        <f>-('R7 - Financing'!I65*INDEX(Data!$G$14:$G$30,MATCH('R10 - Tax'!I$6,Data!$C$14:$C$30,0),1))</f>
        <v>-1.6456511438537245E-2</v>
      </c>
      <c r="J50" s="928">
        <f>-('R7 - Financing'!J65*INDEX(Data!$G$14:$G$30,MATCH('R10 - Tax'!J$6,Data!$C$14:$C$30,0),1))</f>
        <v>-2.1520698286574135E-3</v>
      </c>
      <c r="K50" s="928">
        <f>-('R7 - Financing'!K65*INDEX(Data!$G$14:$G$30,MATCH('R10 - Tax'!K$6,Data!$C$14:$C$30,0),1))</f>
        <v>3.3430399373059697E-3</v>
      </c>
      <c r="L50" s="276"/>
    </row>
    <row r="51" spans="2:13" s="32" customFormat="1">
      <c r="B51" s="861" t="s">
        <v>399</v>
      </c>
      <c r="C51" s="276" t="s">
        <v>128</v>
      </c>
      <c r="D51" s="772">
        <f>SUM(D49:D50)</f>
        <v>15.494968170570941</v>
      </c>
      <c r="E51" s="773">
        <f t="shared" ref="E51:K51" si="6">SUM(E49:E50)</f>
        <v>11.138310321213892</v>
      </c>
      <c r="F51" s="773">
        <f t="shared" si="6"/>
        <v>10.385638190555758</v>
      </c>
      <c r="G51" s="773">
        <f t="shared" si="6"/>
        <v>11.835591167812227</v>
      </c>
      <c r="H51" s="773">
        <f t="shared" si="6"/>
        <v>10.725343199425277</v>
      </c>
      <c r="I51" s="773">
        <f t="shared" si="6"/>
        <v>11.974287298933522</v>
      </c>
      <c r="J51" s="773">
        <f t="shared" si="6"/>
        <v>15.603958672879209</v>
      </c>
      <c r="K51" s="774">
        <f t="shared" si="6"/>
        <v>14.484639194289377</v>
      </c>
      <c r="L51" s="837"/>
    </row>
    <row r="53" spans="2:13">
      <c r="B53" s="861" t="s">
        <v>399</v>
      </c>
      <c r="C53" s="417" t="str">
        <f>'RFPR cover'!$C$14</f>
        <v>£m 09/10</v>
      </c>
      <c r="D53" s="772">
        <f>D51/D39</f>
        <v>13.281146283004533</v>
      </c>
      <c r="E53" s="773">
        <f t="shared" ref="E53:K53" si="7">E51/E39</f>
        <v>9.3634156439174419</v>
      </c>
      <c r="F53" s="773">
        <f t="shared" si="7"/>
        <v>8.6375981292343091</v>
      </c>
      <c r="G53" s="773">
        <f t="shared" si="7"/>
        <v>9.6370079078060495</v>
      </c>
      <c r="H53" s="773">
        <f t="shared" si="7"/>
        <v>8.4179984798928853</v>
      </c>
      <c r="I53" s="773">
        <f t="shared" si="7"/>
        <v>9.1196014501143257</v>
      </c>
      <c r="J53" s="773">
        <f t="shared" si="7"/>
        <v>11.579979919406403</v>
      </c>
      <c r="K53" s="774">
        <f t="shared" si="7"/>
        <v>10.459073405129049</v>
      </c>
    </row>
    <row r="54" spans="2:13">
      <c r="B54" s="861"/>
      <c r="C54" s="417"/>
      <c r="D54" s="417"/>
      <c r="E54" s="417"/>
      <c r="F54" s="417"/>
      <c r="G54" s="417"/>
      <c r="H54" s="417"/>
      <c r="I54" s="417"/>
      <c r="J54" s="417"/>
      <c r="K54" s="417"/>
    </row>
    <row r="56" spans="2:13">
      <c r="B56" s="820" t="s">
        <v>366</v>
      </c>
      <c r="C56" s="821"/>
      <c r="D56" s="821"/>
      <c r="E56" s="821"/>
      <c r="F56" s="821"/>
      <c r="G56" s="821"/>
      <c r="H56" s="821"/>
      <c r="I56" s="821"/>
      <c r="J56" s="821"/>
      <c r="K56" s="821"/>
      <c r="L56" s="821"/>
      <c r="M56" s="512"/>
    </row>
    <row r="57" spans="2:13" s="32" customFormat="1">
      <c r="B57" s="513"/>
      <c r="C57" s="512"/>
      <c r="D57" s="512"/>
      <c r="E57" s="512"/>
      <c r="F57" s="512"/>
      <c r="G57" s="512"/>
      <c r="H57" s="512"/>
      <c r="I57" s="512"/>
      <c r="J57" s="512"/>
      <c r="K57" s="512"/>
      <c r="L57" s="512"/>
      <c r="M57" s="512"/>
    </row>
    <row r="58" spans="2:13">
      <c r="B58" s="385" t="s">
        <v>462</v>
      </c>
      <c r="C58" s="304"/>
      <c r="D58" s="304"/>
      <c r="E58" s="304"/>
      <c r="F58" s="304"/>
      <c r="G58" s="304"/>
      <c r="H58" s="304"/>
      <c r="I58" s="304"/>
      <c r="J58" s="304"/>
      <c r="K58" s="304"/>
      <c r="L58" s="304"/>
      <c r="M58" s="208"/>
    </row>
    <row r="59" spans="2:13" s="32" customFormat="1">
      <c r="B59" s="390"/>
      <c r="C59" s="36"/>
      <c r="D59" s="36"/>
      <c r="E59" s="36"/>
      <c r="F59" s="36"/>
      <c r="G59" s="36"/>
      <c r="H59" s="36"/>
      <c r="I59" s="36"/>
      <c r="J59" s="36"/>
      <c r="K59" s="36"/>
      <c r="L59" s="36"/>
      <c r="M59" s="38"/>
    </row>
    <row r="60" spans="2:13">
      <c r="B60" s="208" t="s">
        <v>365</v>
      </c>
      <c r="C60" s="218" t="str">
        <f>'RFPR cover'!$C$14</f>
        <v>£m 09/10</v>
      </c>
      <c r="D60" s="607">
        <v>13.217253196107102</v>
      </c>
      <c r="E60" s="608">
        <v>13.838030654595133</v>
      </c>
      <c r="F60" s="608">
        <v>10.808455032327375</v>
      </c>
      <c r="G60" s="608">
        <v>7.3928218458250052</v>
      </c>
      <c r="H60" s="608">
        <v>9.1145335421403928</v>
      </c>
      <c r="I60" s="608">
        <v>10.222268176872566</v>
      </c>
      <c r="J60" s="608">
        <v>11.013117991385535</v>
      </c>
      <c r="K60" s="709">
        <v>11.833098073693906</v>
      </c>
    </row>
    <row r="61" spans="2:13">
      <c r="B61" s="208" t="s">
        <v>367</v>
      </c>
      <c r="C61" s="218" t="str">
        <f>'RFPR cover'!$C$14</f>
        <v>£m 09/10</v>
      </c>
      <c r="D61" s="615">
        <v>0</v>
      </c>
      <c r="E61" s="616">
        <v>0</v>
      </c>
      <c r="F61" s="616">
        <v>0</v>
      </c>
      <c r="G61" s="616">
        <v>0</v>
      </c>
      <c r="H61" s="616">
        <v>-0.15896494558262297</v>
      </c>
      <c r="I61" s="616">
        <v>-0.25631726450375147</v>
      </c>
      <c r="J61" s="616">
        <v>-0.32862600149955767</v>
      </c>
      <c r="K61" s="708">
        <v>0</v>
      </c>
    </row>
    <row r="62" spans="2:13">
      <c r="B62" s="208" t="s">
        <v>368</v>
      </c>
      <c r="C62" s="218" t="str">
        <f>'RFPR cover'!$C$14</f>
        <v>£m 09/10</v>
      </c>
      <c r="D62" s="671">
        <f t="shared" ref="D62:K62" si="8">SUM(D60:D61)</f>
        <v>13.217253196107102</v>
      </c>
      <c r="E62" s="672">
        <f t="shared" si="8"/>
        <v>13.838030654595133</v>
      </c>
      <c r="F62" s="672">
        <f t="shared" si="8"/>
        <v>10.808455032327375</v>
      </c>
      <c r="G62" s="672">
        <f t="shared" si="8"/>
        <v>7.3928218458250052</v>
      </c>
      <c r="H62" s="672">
        <f t="shared" si="8"/>
        <v>8.9555685965577698</v>
      </c>
      <c r="I62" s="672">
        <f t="shared" si="8"/>
        <v>9.9659509123688146</v>
      </c>
      <c r="J62" s="672">
        <f t="shared" si="8"/>
        <v>10.684491989885977</v>
      </c>
      <c r="K62" s="673">
        <f t="shared" si="8"/>
        <v>11.833098073693906</v>
      </c>
    </row>
    <row r="63" spans="2:13">
      <c r="B63" s="208"/>
      <c r="C63" s="218"/>
      <c r="D63" s="218"/>
      <c r="E63" s="218"/>
      <c r="F63" s="218"/>
      <c r="G63" s="218"/>
      <c r="H63" s="218"/>
      <c r="I63" s="218"/>
      <c r="J63" s="218"/>
      <c r="K63" s="218"/>
      <c r="L63" s="218"/>
    </row>
    <row r="64" spans="2:13">
      <c r="B64" s="535" t="s">
        <v>463</v>
      </c>
      <c r="C64" s="304"/>
      <c r="D64" s="304"/>
      <c r="E64" s="304"/>
      <c r="F64" s="304"/>
      <c r="G64" s="304"/>
      <c r="H64" s="304"/>
      <c r="I64" s="304"/>
      <c r="J64" s="304"/>
      <c r="K64" s="304"/>
      <c r="L64" s="304"/>
    </row>
    <row r="65" spans="2:13" s="32" customFormat="1">
      <c r="B65" s="536"/>
      <c r="C65" s="36"/>
      <c r="D65" s="36"/>
      <c r="E65" s="36"/>
      <c r="F65" s="36"/>
      <c r="G65" s="36"/>
      <c r="H65" s="36"/>
      <c r="I65" s="36"/>
      <c r="J65" s="36"/>
      <c r="K65" s="36"/>
      <c r="L65" s="36"/>
    </row>
    <row r="66" spans="2:13">
      <c r="B66" s="208" t="s">
        <v>356</v>
      </c>
      <c r="C66" s="218" t="str">
        <f>'RFPR cover'!$C$14</f>
        <v>£m 09/10</v>
      </c>
      <c r="D66" s="607">
        <v>11.625532241681841</v>
      </c>
      <c r="E66" s="608">
        <v>11.337770527118781</v>
      </c>
      <c r="F66" s="608">
        <v>8.9271234664863517</v>
      </c>
      <c r="G66" s="608">
        <v>7.5849765056027438</v>
      </c>
      <c r="H66" s="608">
        <v>7.988371256946909</v>
      </c>
      <c r="I66" s="608">
        <v>8.338041406828566</v>
      </c>
      <c r="J66" s="608">
        <v>7.5143617776139271</v>
      </c>
      <c r="K66" s="709">
        <v>7.6891416006672024</v>
      </c>
    </row>
    <row r="67" spans="2:13">
      <c r="B67" s="208" t="s">
        <v>370</v>
      </c>
      <c r="C67" s="218" t="str">
        <f>'RFPR cover'!$C$14</f>
        <v>£m 09/10</v>
      </c>
      <c r="D67" s="615">
        <v>0</v>
      </c>
      <c r="E67" s="616">
        <v>0</v>
      </c>
      <c r="F67" s="616">
        <v>0</v>
      </c>
      <c r="G67" s="616">
        <v>0</v>
      </c>
      <c r="H67" s="616">
        <v>-2.6607240356795181E-2</v>
      </c>
      <c r="I67" s="616">
        <v>-3.4559736587267409E-2</v>
      </c>
      <c r="J67" s="616">
        <v>3.7902863463247281</v>
      </c>
      <c r="K67" s="708">
        <v>2.0297693325265893</v>
      </c>
    </row>
    <row r="68" spans="2:13">
      <c r="B68" s="14" t="s">
        <v>371</v>
      </c>
      <c r="C68" s="218" t="str">
        <f>'RFPR cover'!$C$14</f>
        <v>£m 09/10</v>
      </c>
      <c r="D68" s="635">
        <f t="shared" ref="D68:K68" si="9">SUM(D66:D67)</f>
        <v>11.625532241681841</v>
      </c>
      <c r="E68" s="636">
        <f t="shared" si="9"/>
        <v>11.337770527118781</v>
      </c>
      <c r="F68" s="636">
        <f t="shared" si="9"/>
        <v>8.9271234664863517</v>
      </c>
      <c r="G68" s="636">
        <f t="shared" si="9"/>
        <v>7.5849765056027438</v>
      </c>
      <c r="H68" s="636">
        <f t="shared" si="9"/>
        <v>7.9617640165901138</v>
      </c>
      <c r="I68" s="636">
        <f t="shared" si="9"/>
        <v>8.3034816702412986</v>
      </c>
      <c r="J68" s="636">
        <f t="shared" si="9"/>
        <v>11.304648123938655</v>
      </c>
      <c r="K68" s="637">
        <f t="shared" si="9"/>
        <v>9.7189109331937917</v>
      </c>
    </row>
    <row r="69" spans="2:13" s="32" customFormat="1">
      <c r="B69" s="536"/>
      <c r="C69" s="36"/>
      <c r="D69" s="36"/>
      <c r="E69" s="36"/>
      <c r="F69" s="36"/>
      <c r="G69" s="36"/>
      <c r="H69" s="36"/>
      <c r="I69" s="36"/>
      <c r="J69" s="36"/>
      <c r="K69" s="36"/>
      <c r="L69" s="36"/>
    </row>
    <row r="70" spans="2:13" s="32" customFormat="1">
      <c r="B70" s="537" t="s">
        <v>369</v>
      </c>
      <c r="C70" s="36"/>
      <c r="D70" s="727">
        <f t="shared" ref="D70:K70" si="10">D68-D62</f>
        <v>-1.5917209544252611</v>
      </c>
      <c r="E70" s="728">
        <f t="shared" si="10"/>
        <v>-2.5002601274763521</v>
      </c>
      <c r="F70" s="728">
        <f t="shared" si="10"/>
        <v>-1.8813315658410232</v>
      </c>
      <c r="G70" s="728">
        <f t="shared" si="10"/>
        <v>0.1921546597777386</v>
      </c>
      <c r="H70" s="728">
        <f t="shared" si="10"/>
        <v>-0.99380457996765603</v>
      </c>
      <c r="I70" s="728">
        <f t="shared" si="10"/>
        <v>-1.662469242127516</v>
      </c>
      <c r="J70" s="728">
        <f t="shared" si="10"/>
        <v>0.620156134052678</v>
      </c>
      <c r="K70" s="729">
        <f t="shared" si="10"/>
        <v>-2.114187140500114</v>
      </c>
      <c r="L70" s="36"/>
    </row>
    <row r="71" spans="2:13">
      <c r="B71" s="950" t="s">
        <v>535</v>
      </c>
      <c r="C71" s="218" t="str">
        <f>'RFPR cover'!$C$14</f>
        <v>£m 09/10</v>
      </c>
      <c r="D71" s="611">
        <v>0</v>
      </c>
      <c r="E71" s="612">
        <v>0</v>
      </c>
      <c r="F71" s="612">
        <v>0</v>
      </c>
      <c r="G71" s="612">
        <v>0</v>
      </c>
      <c r="H71" s="612">
        <v>0.13235770522582868</v>
      </c>
      <c r="I71" s="612">
        <v>0.22283981178578571</v>
      </c>
      <c r="J71" s="612">
        <v>5.079459739010348</v>
      </c>
      <c r="K71" s="707">
        <v>2.9913636954578102</v>
      </c>
    </row>
    <row r="72" spans="2:13">
      <c r="B72" s="208" t="s">
        <v>417</v>
      </c>
      <c r="C72" s="218" t="str">
        <f>'RFPR cover'!$C$14</f>
        <v>£m 09/10</v>
      </c>
      <c r="D72" s="611">
        <v>0</v>
      </c>
      <c r="E72" s="612">
        <v>0</v>
      </c>
      <c r="F72" s="612">
        <v>0</v>
      </c>
      <c r="G72" s="612">
        <v>0</v>
      </c>
      <c r="H72" s="612">
        <v>0</v>
      </c>
      <c r="I72" s="612">
        <v>0</v>
      </c>
      <c r="J72" s="612">
        <v>-0.95782903535328134</v>
      </c>
      <c r="K72" s="707">
        <v>-0.93462597019936156</v>
      </c>
    </row>
    <row r="73" spans="2:13">
      <c r="B73" s="208" t="s">
        <v>334</v>
      </c>
      <c r="C73" s="218" t="str">
        <f>'RFPR cover'!$C$14</f>
        <v>£m 09/10</v>
      </c>
      <c r="D73" s="775">
        <v>-1.5917209544252611</v>
      </c>
      <c r="E73" s="776">
        <v>-2.5002601274763521</v>
      </c>
      <c r="F73" s="776">
        <v>-1.8813315658410232</v>
      </c>
      <c r="G73" s="776">
        <v>0.1921546597777386</v>
      </c>
      <c r="H73" s="776">
        <v>-1.1261622851934847</v>
      </c>
      <c r="I73" s="776">
        <v>-1.8854229785311336</v>
      </c>
      <c r="J73" s="776">
        <v>-3.5017615815333727</v>
      </c>
      <c r="K73" s="777">
        <v>-4.1780956301846732</v>
      </c>
    </row>
    <row r="74" spans="2:13">
      <c r="B74" s="208" t="s">
        <v>122</v>
      </c>
      <c r="C74" s="218" t="str">
        <f>'RFPR cover'!$C$14</f>
        <v>£m 09/10</v>
      </c>
      <c r="D74" s="538" t="str">
        <f>IF(ABS(D70-SUM(D71:D73))&lt;'RFPR cover'!$F$14,"OK","ERROR")</f>
        <v>OK</v>
      </c>
      <c r="E74" s="539" t="str">
        <f>IF(ABS(E70-SUM(E71:E73))&lt;'RFPR cover'!$F$14,"OK","ERROR")</f>
        <v>OK</v>
      </c>
      <c r="F74" s="539" t="str">
        <f>IF(ABS(F70-SUM(F71:F73))&lt;'RFPR cover'!$F$14,"OK","ERROR")</f>
        <v>OK</v>
      </c>
      <c r="G74" s="539" t="str">
        <f>IF(ABS(G70-SUM(G71:G73))&lt;'RFPR cover'!$F$14,"OK","ERROR")</f>
        <v>OK</v>
      </c>
      <c r="H74" s="539" t="str">
        <f>IF(ABS(H70-SUM(H71:H73))&lt;'RFPR cover'!$F$14,"OK","ERROR")</f>
        <v>OK</v>
      </c>
      <c r="I74" s="539" t="str">
        <f>IF(ABS(I70-SUM(I71:I73))&lt;'RFPR cover'!$F$14,"OK","ERROR")</f>
        <v>OK</v>
      </c>
      <c r="J74" s="539" t="str">
        <f>IF(ABS(J70-SUM(J71:J73))&lt;'RFPR cover'!$F$14,"OK","ERROR")</f>
        <v>OK</v>
      </c>
      <c r="K74" s="540" t="str">
        <f>IF(ABS(K70-SUM(K71:K73))&lt;'RFPR cover'!$F$14,"OK","ERROR")</f>
        <v>OK</v>
      </c>
    </row>
    <row r="75" spans="2:13">
      <c r="B75" s="208"/>
      <c r="C75" s="208"/>
      <c r="D75" s="208"/>
      <c r="E75" s="208"/>
      <c r="F75" s="208"/>
      <c r="G75" s="208"/>
      <c r="H75" s="208"/>
      <c r="I75" s="208"/>
      <c r="J75" s="208"/>
      <c r="K75" s="208"/>
      <c r="L75" s="208"/>
      <c r="M75" s="208"/>
    </row>
    <row r="77" spans="2:13">
      <c r="B77" s="865" t="s">
        <v>419</v>
      </c>
      <c r="C77" s="865"/>
      <c r="D77" s="865"/>
      <c r="E77" s="865"/>
      <c r="F77" s="865"/>
      <c r="G77" s="865"/>
      <c r="H77" s="865"/>
      <c r="I77" s="865"/>
      <c r="J77" s="865"/>
      <c r="K77" s="865"/>
      <c r="L77" s="865"/>
    </row>
    <row r="79" spans="2:13">
      <c r="B79" s="14" t="s">
        <v>420</v>
      </c>
      <c r="C79" s="219" t="str">
        <f>'RFPR cover'!$C$14</f>
        <v>£m 09/10</v>
      </c>
      <c r="D79" s="635">
        <f t="shared" ref="D79:K79" si="11">D$68-D41</f>
        <v>-1.7992512366135305</v>
      </c>
      <c r="E79" s="636">
        <f t="shared" si="11"/>
        <v>2.1540964571511587</v>
      </c>
      <c r="F79" s="636">
        <f t="shared" si="11"/>
        <v>0.97941451676232205</v>
      </c>
      <c r="G79" s="636">
        <f t="shared" si="11"/>
        <v>-1.8883314926836841</v>
      </c>
      <c r="H79" s="636">
        <f t="shared" si="11"/>
        <v>-0.47304707898489529</v>
      </c>
      <c r="I79" s="636">
        <f t="shared" si="11"/>
        <v>-0.82865303732978468</v>
      </c>
      <c r="J79" s="636">
        <f t="shared" si="11"/>
        <v>-0.2769288854064893</v>
      </c>
      <c r="K79" s="637">
        <f t="shared" si="11"/>
        <v>-0.73774852847200911</v>
      </c>
    </row>
    <row r="80" spans="2:13">
      <c r="B80" s="14"/>
      <c r="C80" s="14"/>
      <c r="D80" s="14"/>
      <c r="E80" s="14"/>
      <c r="F80" s="14"/>
      <c r="G80" s="14"/>
      <c r="H80" s="14"/>
      <c r="I80" s="14"/>
      <c r="J80" s="14"/>
      <c r="K80" s="14"/>
    </row>
    <row r="81" spans="2:11">
      <c r="B81" s="14" t="s">
        <v>431</v>
      </c>
      <c r="C81" s="219" t="str">
        <f>'RFPR cover'!$C$14</f>
        <v>£m 09/10</v>
      </c>
      <c r="D81" s="635">
        <f t="shared" ref="D81:K81" si="12">D$68-D53</f>
        <v>-1.6556140413226927</v>
      </c>
      <c r="E81" s="636">
        <f t="shared" si="12"/>
        <v>1.9743548832013396</v>
      </c>
      <c r="F81" s="636">
        <f t="shared" si="12"/>
        <v>0.28952533725204255</v>
      </c>
      <c r="G81" s="636">
        <f t="shared" si="12"/>
        <v>-2.0520314022033057</v>
      </c>
      <c r="H81" s="636">
        <f t="shared" si="12"/>
        <v>-0.45623446330277151</v>
      </c>
      <c r="I81" s="636">
        <f t="shared" si="12"/>
        <v>-0.81611977987302708</v>
      </c>
      <c r="J81" s="636">
        <f t="shared" si="12"/>
        <v>-0.27533179546774811</v>
      </c>
      <c r="K81" s="637">
        <f t="shared" si="12"/>
        <v>-0.74016247193525686</v>
      </c>
    </row>
    <row r="83" spans="2:11">
      <c r="B83" s="14" t="s">
        <v>430</v>
      </c>
      <c r="C83" s="219" t="str">
        <f>'RFPR cover'!$C$14</f>
        <v>£m 09/10</v>
      </c>
      <c r="D83" s="635">
        <f>D79-D81</f>
        <v>-0.14363719529083774</v>
      </c>
      <c r="E83" s="636">
        <f t="shared" ref="E83:K83" si="13">E79-E81</f>
        <v>0.17974157394981916</v>
      </c>
      <c r="F83" s="636">
        <f t="shared" si="13"/>
        <v>0.6898891795102795</v>
      </c>
      <c r="G83" s="636">
        <f t="shared" si="13"/>
        <v>0.16369990951962166</v>
      </c>
      <c r="H83" s="636">
        <f t="shared" si="13"/>
        <v>-1.6812615682123777E-2</v>
      </c>
      <c r="I83" s="636">
        <f t="shared" si="13"/>
        <v>-1.2533257456757596E-2</v>
      </c>
      <c r="J83" s="636">
        <f t="shared" si="13"/>
        <v>-1.5970899387411919E-3</v>
      </c>
      <c r="K83" s="637">
        <f t="shared" si="13"/>
        <v>2.4139434632477474E-3</v>
      </c>
    </row>
    <row r="85" spans="2:11">
      <c r="B85" t="s">
        <v>513</v>
      </c>
      <c r="C85" s="276" t="s">
        <v>128</v>
      </c>
      <c r="D85" s="607">
        <v>0</v>
      </c>
      <c r="E85" s="607">
        <v>0</v>
      </c>
      <c r="F85" s="607">
        <v>0</v>
      </c>
      <c r="G85" s="607">
        <v>0</v>
      </c>
      <c r="H85" s="607">
        <v>0</v>
      </c>
      <c r="I85" s="607">
        <v>0</v>
      </c>
      <c r="J85" s="607">
        <v>0</v>
      </c>
      <c r="K85" s="942">
        <v>0</v>
      </c>
    </row>
    <row r="86" spans="2:11">
      <c r="B86" t="s">
        <v>513</v>
      </c>
      <c r="C86" s="417" t="str">
        <f>'RFPR cover'!$C$14</f>
        <v>£m 09/10</v>
      </c>
      <c r="D86" s="817">
        <f>D85/D$39</f>
        <v>0</v>
      </c>
      <c r="E86" s="817">
        <f t="shared" ref="E86:K86" si="14">E85/E$39</f>
        <v>0</v>
      </c>
      <c r="F86" s="817">
        <f t="shared" si="14"/>
        <v>0</v>
      </c>
      <c r="G86" s="817">
        <f t="shared" si="14"/>
        <v>0</v>
      </c>
      <c r="H86" s="817">
        <f t="shared" si="14"/>
        <v>0</v>
      </c>
      <c r="I86" s="817">
        <f t="shared" si="14"/>
        <v>0</v>
      </c>
      <c r="J86" s="817">
        <f t="shared" si="14"/>
        <v>0</v>
      </c>
      <c r="K86" s="943">
        <f t="shared" si="14"/>
        <v>0</v>
      </c>
    </row>
    <row r="87" spans="2:11">
      <c r="B87" t="s">
        <v>514</v>
      </c>
      <c r="C87" s="276" t="s">
        <v>128</v>
      </c>
      <c r="D87" s="611">
        <v>0</v>
      </c>
      <c r="E87" s="611">
        <v>0</v>
      </c>
      <c r="F87" s="611">
        <v>0</v>
      </c>
      <c r="G87" s="611">
        <v>0</v>
      </c>
      <c r="H87" s="611">
        <v>0</v>
      </c>
      <c r="I87" s="611">
        <v>0</v>
      </c>
      <c r="J87" s="611">
        <v>0</v>
      </c>
      <c r="K87" s="944">
        <v>0</v>
      </c>
    </row>
    <row r="88" spans="2:11">
      <c r="B88" t="s">
        <v>514</v>
      </c>
      <c r="C88" s="417" t="str">
        <f>'RFPR cover'!$C$14</f>
        <v>£m 09/10</v>
      </c>
      <c r="D88" s="817">
        <f t="shared" ref="D88:K88" si="15">D87/D$39</f>
        <v>0</v>
      </c>
      <c r="E88" s="817">
        <f t="shared" si="15"/>
        <v>0</v>
      </c>
      <c r="F88" s="817">
        <f t="shared" si="15"/>
        <v>0</v>
      </c>
      <c r="G88" s="817">
        <f t="shared" si="15"/>
        <v>0</v>
      </c>
      <c r="H88" s="817">
        <f t="shared" si="15"/>
        <v>0</v>
      </c>
      <c r="I88" s="817">
        <f t="shared" si="15"/>
        <v>0</v>
      </c>
      <c r="J88" s="817">
        <f t="shared" si="15"/>
        <v>0</v>
      </c>
      <c r="K88" s="943">
        <f t="shared" si="15"/>
        <v>0</v>
      </c>
    </row>
    <row r="89" spans="2:11">
      <c r="B89" t="s">
        <v>517</v>
      </c>
      <c r="C89" s="417" t="str">
        <f>'RFPR cover'!$C$14</f>
        <v>£m 09/10</v>
      </c>
      <c r="D89" s="817">
        <f>D86-D88</f>
        <v>0</v>
      </c>
      <c r="E89" s="817">
        <f t="shared" ref="E89:K89" si="16">E86-E88</f>
        <v>0</v>
      </c>
      <c r="F89" s="817">
        <f t="shared" si="16"/>
        <v>0</v>
      </c>
      <c r="G89" s="817">
        <f t="shared" si="16"/>
        <v>0</v>
      </c>
      <c r="H89" s="817">
        <f t="shared" si="16"/>
        <v>0</v>
      </c>
      <c r="I89" s="817">
        <f t="shared" si="16"/>
        <v>0</v>
      </c>
      <c r="J89" s="817">
        <f t="shared" si="16"/>
        <v>0</v>
      </c>
      <c r="K89" s="943">
        <f t="shared" si="16"/>
        <v>0</v>
      </c>
    </row>
    <row r="91" spans="2:11">
      <c r="D91" s="949"/>
    </row>
  </sheetData>
  <conditionalFormatting sqref="D6:K7">
    <cfRule type="expression" dxfId="20" priority="75">
      <formula>AND(D$6="Actuals",E$6="Forecast")</formula>
    </cfRule>
  </conditionalFormatting>
  <conditionalFormatting sqref="D5:K5">
    <cfRule type="expression" dxfId="19" priority="50">
      <formula>AND(D$5="Actuals",E$5="Forecast")</formula>
    </cfRule>
  </conditionalFormatting>
  <conditionalFormatting sqref="D36:K36">
    <cfRule type="expression" dxfId="18" priority="18">
      <formula>AND(D$5="Actuals",E$5="Actuals")</formula>
    </cfRule>
  </conditionalFormatting>
  <conditionalFormatting sqref="D12:K12 D15:K19 D24:K33">
    <cfRule type="expression" dxfId="17" priority="17">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L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3.125" bestFit="1" customWidth="1"/>
    <col min="3" max="3" width="14.125" customWidth="1"/>
    <col min="4" max="11" width="11.125" customWidth="1"/>
    <col min="12" max="12" width="5" customWidth="1"/>
  </cols>
  <sheetData>
    <row r="1" spans="1:12" s="32" customFormat="1" ht="20.25">
      <c r="A1" s="120" t="s">
        <v>260</v>
      </c>
      <c r="B1" s="121"/>
      <c r="C1" s="121"/>
      <c r="D1" s="121"/>
      <c r="E1" s="121"/>
      <c r="F1" s="121"/>
      <c r="G1" s="121"/>
      <c r="H1" s="121"/>
      <c r="I1" s="129"/>
      <c r="J1" s="129"/>
      <c r="K1" s="130"/>
      <c r="L1" s="131"/>
    </row>
    <row r="2" spans="1:12" s="32" customFormat="1" ht="20.25">
      <c r="A2" s="124" t="str">
        <f>'RFPR cover'!C5</f>
        <v>SPT</v>
      </c>
      <c r="B2" s="30"/>
      <c r="C2" s="30"/>
      <c r="D2" s="30"/>
      <c r="E2" s="30"/>
      <c r="F2" s="30"/>
      <c r="G2" s="30"/>
      <c r="H2" s="30"/>
      <c r="I2" s="27"/>
      <c r="J2" s="27"/>
      <c r="K2" s="27"/>
      <c r="L2" s="125"/>
    </row>
    <row r="3" spans="1:12" s="32" customFormat="1" ht="23.25">
      <c r="A3" s="126">
        <f>'RFPR cover'!C7</f>
        <v>2019</v>
      </c>
      <c r="B3" s="936" t="str">
        <f>'R1 - RoRE'!B3</f>
        <v/>
      </c>
      <c r="C3" s="127"/>
      <c r="D3" s="127"/>
      <c r="E3" s="127"/>
      <c r="F3" s="127"/>
      <c r="G3" s="127"/>
      <c r="H3" s="127"/>
      <c r="I3" s="29"/>
      <c r="J3" s="29"/>
      <c r="K3" s="29"/>
      <c r="L3" s="128"/>
    </row>
    <row r="4" spans="1:12" s="2" customFormat="1" ht="12.75" customHeight="1"/>
    <row r="5" spans="1:12" s="2" customFormat="1" ht="12.75" customHeight="1">
      <c r="B5" s="3"/>
      <c r="C5" s="3"/>
      <c r="D5" s="407" t="str">
        <f>IF(D6&lt;='RFPR cover'!$C$7,"Actuals","N/A")</f>
        <v>Actuals</v>
      </c>
      <c r="E5" s="408" t="str">
        <f>IF(E6&lt;='RFPR cover'!$C$7,"Actuals","N/A")</f>
        <v>Actuals</v>
      </c>
      <c r="F5" s="408" t="str">
        <f>IF(F6&lt;='RFPR cover'!$C$7,"Actuals","N/A")</f>
        <v>Actuals</v>
      </c>
      <c r="G5" s="408" t="str">
        <f>IF(G6&lt;='RFPR cover'!$C$7,"Actuals","N/A")</f>
        <v>Actuals</v>
      </c>
      <c r="H5" s="408" t="str">
        <f>IF(H6&lt;='RFPR cover'!$C$7,"Actuals","N/A")</f>
        <v>Actuals</v>
      </c>
      <c r="I5" s="408" t="str">
        <f>IF(I6&lt;='RFPR cover'!$C$7,"Actuals","N/A")</f>
        <v>Actuals</v>
      </c>
      <c r="J5" s="408" t="str">
        <f>IF(J6&lt;='RFPR cover'!$C$7,"Actuals","N/A")</f>
        <v>N/A</v>
      </c>
      <c r="K5" s="409" t="str">
        <f>IF(K6&lt;='RFPR cover'!$C$7,"Actuals","N/A")</f>
        <v>N/A</v>
      </c>
    </row>
    <row r="6" spans="1:12" s="2" customFormat="1" ht="12.75" customHeight="1">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2" s="2" customFormat="1"/>
    <row r="8" spans="1:12">
      <c r="B8" s="14" t="s">
        <v>230</v>
      </c>
      <c r="C8" s="158" t="s">
        <v>128</v>
      </c>
      <c r="D8" s="663">
        <v>169</v>
      </c>
      <c r="E8" s="664">
        <v>229</v>
      </c>
      <c r="F8" s="664">
        <v>10</v>
      </c>
      <c r="G8" s="664">
        <v>72</v>
      </c>
      <c r="H8" s="664">
        <v>75.8</v>
      </c>
      <c r="I8" s="664">
        <v>91.5</v>
      </c>
      <c r="J8" s="664"/>
      <c r="K8" s="665"/>
    </row>
    <row r="9" spans="1:12">
      <c r="B9" s="15" t="s">
        <v>105</v>
      </c>
      <c r="C9" s="14"/>
      <c r="D9" s="778"/>
      <c r="E9" s="778"/>
      <c r="F9" s="778"/>
      <c r="G9" s="778"/>
      <c r="H9" s="778"/>
      <c r="I9" s="778"/>
      <c r="J9" s="778"/>
      <c r="K9" s="778"/>
    </row>
    <row r="10" spans="1:12">
      <c r="B10" s="453" t="s">
        <v>22</v>
      </c>
      <c r="C10" s="158" t="s">
        <v>128</v>
      </c>
      <c r="D10" s="619"/>
      <c r="E10" s="620"/>
      <c r="F10" s="620"/>
      <c r="G10" s="620"/>
      <c r="H10" s="620"/>
      <c r="I10" s="620"/>
      <c r="J10" s="620"/>
      <c r="K10" s="630"/>
    </row>
    <row r="11" spans="1:12">
      <c r="B11" s="453" t="s">
        <v>22</v>
      </c>
      <c r="C11" s="158" t="s">
        <v>128</v>
      </c>
      <c r="D11" s="621"/>
      <c r="E11" s="622"/>
      <c r="F11" s="622"/>
      <c r="G11" s="622"/>
      <c r="H11" s="622"/>
      <c r="I11" s="622"/>
      <c r="J11" s="622"/>
      <c r="K11" s="631"/>
    </row>
    <row r="12" spans="1:12">
      <c r="B12" s="453" t="s">
        <v>20</v>
      </c>
      <c r="C12" s="158" t="s">
        <v>128</v>
      </c>
      <c r="D12" s="632"/>
      <c r="E12" s="633"/>
      <c r="F12" s="633"/>
      <c r="G12" s="633"/>
      <c r="H12" s="633"/>
      <c r="I12" s="633"/>
      <c r="J12" s="633"/>
      <c r="K12" s="634"/>
    </row>
    <row r="13" spans="1:12">
      <c r="B13" s="14" t="s">
        <v>106</v>
      </c>
      <c r="C13" s="158" t="s">
        <v>128</v>
      </c>
      <c r="D13" s="767">
        <f>D8-SUM(D10:D12)</f>
        <v>169</v>
      </c>
      <c r="E13" s="768">
        <f t="shared" ref="E13:K13" si="1">E8-SUM(E10:E12)</f>
        <v>229</v>
      </c>
      <c r="F13" s="768">
        <f t="shared" si="1"/>
        <v>10</v>
      </c>
      <c r="G13" s="768">
        <f t="shared" si="1"/>
        <v>72</v>
      </c>
      <c r="H13" s="768">
        <f t="shared" si="1"/>
        <v>75.8</v>
      </c>
      <c r="I13" s="768">
        <f t="shared" si="1"/>
        <v>91.5</v>
      </c>
      <c r="J13" s="768">
        <f t="shared" si="1"/>
        <v>0</v>
      </c>
      <c r="K13" s="769">
        <f t="shared" si="1"/>
        <v>0</v>
      </c>
    </row>
    <row r="14" spans="1:12">
      <c r="C14" s="14"/>
    </row>
    <row r="15" spans="1:12">
      <c r="B15" s="14" t="s">
        <v>490</v>
      </c>
      <c r="C15" s="158" t="s">
        <v>128</v>
      </c>
      <c r="D15" s="663"/>
      <c r="E15" s="664"/>
      <c r="F15" s="664"/>
      <c r="G15" s="664"/>
      <c r="H15" s="664"/>
      <c r="I15" s="664"/>
      <c r="J15" s="664"/>
      <c r="K15" s="665"/>
    </row>
  </sheetData>
  <conditionalFormatting sqref="D6:K6">
    <cfRule type="expression" dxfId="16" priority="18">
      <formula>AND(D$5="Actuals",E$5="N/A")</formula>
    </cfRule>
  </conditionalFormatting>
  <conditionalFormatting sqref="D5:K5">
    <cfRule type="expression" dxfId="15" priority="11">
      <formula>AND(D$5="Actuals",E$5="N/A")</formula>
    </cfRule>
  </conditionalFormatting>
  <conditionalFormatting sqref="D8:K8 D5:K6 D10:K13">
    <cfRule type="expression" dxfId="14" priority="10">
      <formula>D$5="N/A"</formula>
    </cfRule>
  </conditionalFormatting>
  <conditionalFormatting sqref="D15:K15">
    <cfRule type="expression" dxfId="13" priority="9">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Normal="10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4" t="s">
        <v>259</v>
      </c>
      <c r="B1" s="265"/>
      <c r="C1" s="265"/>
      <c r="D1" s="265"/>
      <c r="E1" s="265"/>
      <c r="F1" s="265"/>
      <c r="G1" s="265"/>
      <c r="H1" s="265"/>
      <c r="I1" s="266"/>
      <c r="J1" s="266"/>
      <c r="K1" s="267"/>
      <c r="L1" s="268"/>
    </row>
    <row r="2" spans="1:12" s="32" customFormat="1" ht="20.25">
      <c r="A2" s="124" t="str">
        <f>'RFPR cover'!C5</f>
        <v>SPT</v>
      </c>
      <c r="B2" s="30"/>
      <c r="C2" s="30"/>
      <c r="D2" s="30"/>
      <c r="E2" s="30"/>
      <c r="F2" s="30"/>
      <c r="G2" s="30"/>
      <c r="H2" s="30"/>
      <c r="I2" s="27"/>
      <c r="J2" s="27"/>
      <c r="K2" s="27"/>
      <c r="L2" s="125"/>
    </row>
    <row r="3" spans="1:12" s="32" customFormat="1" ht="20.25">
      <c r="A3" s="269">
        <f>'RFPR cover'!C7</f>
        <v>2019</v>
      </c>
      <c r="B3" s="270"/>
      <c r="C3" s="270"/>
      <c r="D3" s="270"/>
      <c r="E3" s="270"/>
      <c r="F3" s="270"/>
      <c r="G3" s="270"/>
      <c r="H3" s="270"/>
      <c r="I3" s="263"/>
      <c r="J3" s="263"/>
      <c r="K3" s="263"/>
      <c r="L3" s="271"/>
    </row>
    <row r="4" spans="1:12" s="2" customFormat="1" ht="12.75" customHeight="1">
      <c r="A4" s="36"/>
      <c r="B4" s="279"/>
      <c r="C4" s="32"/>
      <c r="D4" s="280"/>
      <c r="E4" s="280"/>
      <c r="F4" s="36"/>
      <c r="G4" s="36"/>
      <c r="H4" s="36"/>
      <c r="I4" s="36"/>
      <c r="J4" s="36"/>
      <c r="K4" s="36"/>
    </row>
    <row r="5" spans="1:12" s="2" customFormat="1" ht="12.75" customHeight="1">
      <c r="A5" s="36"/>
      <c r="B5" s="279"/>
      <c r="C5" s="32"/>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row>
    <row r="6" spans="1:12" s="2" customFormat="1" ht="12.75" customHeight="1">
      <c r="A6" s="36"/>
      <c r="B6" s="36"/>
      <c r="C6" s="32"/>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2" s="2" customFormat="1">
      <c r="A7" s="36"/>
      <c r="B7" s="36"/>
      <c r="C7" s="32"/>
      <c r="D7" s="32"/>
      <c r="E7" s="32"/>
      <c r="F7" s="32"/>
      <c r="G7" s="32"/>
      <c r="H7" s="32"/>
      <c r="I7" s="32"/>
      <c r="J7" s="32"/>
      <c r="K7" s="32"/>
      <c r="L7" s="32"/>
    </row>
    <row r="8" spans="1:12">
      <c r="B8" s="14" t="s">
        <v>379</v>
      </c>
      <c r="C8" s="158" t="s">
        <v>128</v>
      </c>
      <c r="D8" s="779">
        <v>1.6475</v>
      </c>
      <c r="E8" s="780">
        <v>2.4194</v>
      </c>
      <c r="F8" s="780">
        <v>2.4749999999999996</v>
      </c>
      <c r="G8" s="780">
        <v>2.4952000000000005</v>
      </c>
      <c r="H8" s="780">
        <v>2.6197000000000004</v>
      </c>
      <c r="I8" s="780">
        <v>2.7210000000000001</v>
      </c>
      <c r="J8" s="780"/>
      <c r="K8" s="781"/>
    </row>
    <row r="9" spans="1:12">
      <c r="B9" s="16" t="s">
        <v>24</v>
      </c>
      <c r="D9" s="778"/>
      <c r="E9" s="778"/>
      <c r="F9" s="778"/>
      <c r="G9" s="778"/>
      <c r="H9" s="778"/>
      <c r="I9" s="778"/>
      <c r="J9" s="778"/>
      <c r="K9" s="778"/>
    </row>
    <row r="10" spans="1:12">
      <c r="B10" t="s">
        <v>23</v>
      </c>
      <c r="C10" s="158" t="s">
        <v>128</v>
      </c>
      <c r="D10" s="702">
        <v>1.5</v>
      </c>
      <c r="E10" s="703">
        <v>2.2200000000000002</v>
      </c>
      <c r="F10" s="703">
        <v>2.27</v>
      </c>
      <c r="G10" s="703">
        <v>2.2890000000000001</v>
      </c>
      <c r="H10" s="703">
        <v>2.1880000000000002</v>
      </c>
      <c r="I10" s="703">
        <v>2.2730000000000001</v>
      </c>
      <c r="J10" s="703"/>
      <c r="K10" s="704"/>
    </row>
    <row r="11" spans="1:12">
      <c r="B11" t="s">
        <v>25</v>
      </c>
      <c r="C11" s="158" t="s">
        <v>128</v>
      </c>
      <c r="D11" s="782">
        <v>0.14749999999999999</v>
      </c>
      <c r="E11" s="783">
        <v>0.19939999999999999</v>
      </c>
      <c r="F11" s="783">
        <v>0.20499999999999999</v>
      </c>
      <c r="G11" s="783">
        <v>0.20619999999999999</v>
      </c>
      <c r="H11" s="783">
        <v>0.43169999999999997</v>
      </c>
      <c r="I11" s="783">
        <v>0.44800000000000001</v>
      </c>
      <c r="J11" s="783"/>
      <c r="K11" s="784"/>
    </row>
    <row r="12" spans="1:12">
      <c r="D12" s="778"/>
      <c r="E12" s="778"/>
      <c r="F12" s="778"/>
      <c r="G12" s="778"/>
      <c r="H12" s="778"/>
      <c r="I12" s="778"/>
      <c r="J12" s="778"/>
      <c r="K12" s="778"/>
    </row>
    <row r="13" spans="1:12">
      <c r="D13" s="778"/>
      <c r="E13" s="778"/>
      <c r="F13" s="778"/>
      <c r="G13" s="778"/>
      <c r="H13" s="778"/>
      <c r="I13" s="778"/>
      <c r="J13" s="778"/>
      <c r="K13" s="778"/>
    </row>
    <row r="14" spans="1:12">
      <c r="B14" t="s">
        <v>23</v>
      </c>
      <c r="C14" s="218" t="str">
        <f>'RFPR cover'!$C$14</f>
        <v>£m 09/10</v>
      </c>
      <c r="D14" s="17">
        <f>D10/Data!C$34</f>
        <v>1.2856895996949147</v>
      </c>
      <c r="E14" s="17">
        <f>E10/Data!D$34</f>
        <v>1.8662420178675097</v>
      </c>
      <c r="F14" s="17">
        <f>F10/Data!E$34</f>
        <v>1.8879290221367366</v>
      </c>
      <c r="G14" s="17">
        <f>G10/Data!F$34</f>
        <v>1.8637946164412511</v>
      </c>
      <c r="H14" s="17">
        <f>H10/Data!G$34</f>
        <v>1.7172952260392569</v>
      </c>
      <c r="I14" s="17">
        <f>I10/Data!H$34</f>
        <v>1.7311138089993932</v>
      </c>
      <c r="J14" s="17">
        <f>J10/Data!I$34</f>
        <v>0</v>
      </c>
      <c r="K14" s="17">
        <f>K10/Data!J$34</f>
        <v>0</v>
      </c>
    </row>
    <row r="15" spans="1:12">
      <c r="D15" s="778"/>
      <c r="E15" s="778"/>
      <c r="F15" s="778"/>
      <c r="G15" s="778"/>
      <c r="H15" s="778"/>
      <c r="I15" s="778"/>
      <c r="J15" s="778"/>
      <c r="K15" s="778"/>
    </row>
    <row r="16" spans="1:12">
      <c r="D16" s="778"/>
      <c r="E16" s="778"/>
      <c r="F16" s="778"/>
      <c r="G16" s="778"/>
      <c r="H16" s="778"/>
      <c r="I16" s="778"/>
      <c r="J16" s="778"/>
      <c r="K16" s="778"/>
    </row>
    <row r="17" spans="2:11" s="2" customFormat="1">
      <c r="B17" s="14" t="s">
        <v>314</v>
      </c>
      <c r="C17" s="218" t="str">
        <f>'RFPR cover'!$C$14</f>
        <v>£m 09/10</v>
      </c>
      <c r="D17" s="785">
        <v>0.2</v>
      </c>
      <c r="E17" s="785">
        <v>0.2</v>
      </c>
      <c r="F17" s="785">
        <v>2.1</v>
      </c>
      <c r="G17" s="785">
        <v>2.1</v>
      </c>
      <c r="H17" s="785">
        <v>2.1</v>
      </c>
      <c r="I17" s="785">
        <v>2.5</v>
      </c>
      <c r="J17" s="785">
        <v>0</v>
      </c>
      <c r="K17" s="785">
        <v>0</v>
      </c>
    </row>
    <row r="18" spans="2:11" s="2" customFormat="1">
      <c r="B18" s="208" t="s">
        <v>315</v>
      </c>
      <c r="C18" s="218" t="str">
        <f>'RFPR cover'!$C$14</f>
        <v>£m 09/10</v>
      </c>
      <c r="D18" s="785">
        <v>0</v>
      </c>
      <c r="E18" s="785">
        <v>0</v>
      </c>
      <c r="F18" s="785">
        <v>0.1</v>
      </c>
      <c r="G18" s="785">
        <v>0.1</v>
      </c>
      <c r="H18" s="785">
        <v>0.1</v>
      </c>
      <c r="I18" s="785">
        <v>0.5</v>
      </c>
      <c r="J18" s="785">
        <v>0</v>
      </c>
      <c r="K18" s="785">
        <v>0</v>
      </c>
    </row>
    <row r="19" spans="2:11" s="2" customFormat="1">
      <c r="B19" s="14" t="s">
        <v>316</v>
      </c>
      <c r="C19" s="218" t="str">
        <f>'RFPR cover'!$C$14</f>
        <v>£m 09/10</v>
      </c>
      <c r="D19" s="17">
        <f>D17-D18</f>
        <v>0.2</v>
      </c>
      <c r="E19" s="17">
        <f t="shared" ref="E19:K19" si="1">E17-E18</f>
        <v>0.2</v>
      </c>
      <c r="F19" s="17">
        <f t="shared" si="1"/>
        <v>2</v>
      </c>
      <c r="G19" s="17">
        <f t="shared" si="1"/>
        <v>2</v>
      </c>
      <c r="H19" s="17">
        <f t="shared" si="1"/>
        <v>2</v>
      </c>
      <c r="I19" s="17">
        <f t="shared" si="1"/>
        <v>2</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997" t="s">
        <v>118</v>
      </c>
      <c r="E21" s="14"/>
      <c r="F21" s="14"/>
      <c r="G21" s="14"/>
      <c r="H21" s="14"/>
      <c r="I21" s="14"/>
      <c r="J21" s="14"/>
      <c r="K21" s="14"/>
    </row>
    <row r="22" spans="2:11" s="2" customFormat="1" ht="12.75" customHeight="1">
      <c r="B22" s="14"/>
      <c r="C22" s="14"/>
      <c r="D22" s="998"/>
      <c r="E22" s="14"/>
      <c r="F22" s="14"/>
      <c r="G22" s="14"/>
      <c r="H22" s="14"/>
      <c r="I22" s="14"/>
      <c r="J22" s="14"/>
      <c r="K22" s="14"/>
    </row>
    <row r="23" spans="2:11">
      <c r="C23" s="14"/>
      <c r="D23" s="999"/>
      <c r="E23" s="14"/>
    </row>
    <row r="24" spans="2:11">
      <c r="B24" s="14" t="s">
        <v>117</v>
      </c>
      <c r="C24" s="14"/>
      <c r="D24" s="547">
        <v>42460</v>
      </c>
    </row>
    <row r="25" spans="2:11">
      <c r="B25" s="14"/>
      <c r="C25" s="14"/>
      <c r="D25" s="41"/>
      <c r="E25" s="42"/>
      <c r="F25" s="42"/>
    </row>
    <row r="26" spans="2:11">
      <c r="B26" s="208" t="s">
        <v>313</v>
      </c>
      <c r="C26" s="14"/>
      <c r="D26" s="378" t="s">
        <v>536</v>
      </c>
      <c r="E26" s="42"/>
      <c r="F26" s="42"/>
    </row>
    <row r="27" spans="2:11">
      <c r="B27" s="208"/>
      <c r="C27" s="14"/>
      <c r="D27" s="41"/>
      <c r="E27" s="42"/>
      <c r="F27" s="42"/>
    </row>
    <row r="28" spans="2:11">
      <c r="B28" s="14"/>
      <c r="D28" s="377" t="s">
        <v>282</v>
      </c>
      <c r="E28" s="42"/>
      <c r="F28" s="42"/>
    </row>
    <row r="29" spans="2:11">
      <c r="B29" t="s">
        <v>26</v>
      </c>
      <c r="D29" s="785">
        <v>383.31736000000001</v>
      </c>
    </row>
    <row r="30" spans="2:11">
      <c r="B30" t="s">
        <v>27</v>
      </c>
      <c r="D30" s="785">
        <v>4838.7826400000004</v>
      </c>
    </row>
    <row r="31" spans="2:11">
      <c r="D31" s="778"/>
    </row>
    <row r="32" spans="2:11">
      <c r="B32" t="s">
        <v>28</v>
      </c>
      <c r="D32" s="785">
        <v>324.79520734800002</v>
      </c>
    </row>
    <row r="33" spans="2:4">
      <c r="B33" t="s">
        <v>29</v>
      </c>
      <c r="D33" s="785">
        <v>4085.9317542719996</v>
      </c>
    </row>
    <row r="34" spans="2:4">
      <c r="D34" s="778"/>
    </row>
    <row r="35" spans="2:4">
      <c r="B35" s="44" t="s">
        <v>31</v>
      </c>
      <c r="D35" s="17">
        <f>D29-D32</f>
        <v>58.522152651999988</v>
      </c>
    </row>
    <row r="36" spans="2:4">
      <c r="B36" s="44" t="s">
        <v>30</v>
      </c>
      <c r="D36" s="17">
        <f>D30-D33</f>
        <v>752.85088572800078</v>
      </c>
    </row>
    <row r="37" spans="2:4">
      <c r="D37" s="778"/>
    </row>
    <row r="38" spans="2:4">
      <c r="B38" t="s">
        <v>32</v>
      </c>
      <c r="D38" s="785">
        <v>20.452360594944</v>
      </c>
    </row>
    <row r="39" spans="2:4">
      <c r="B39" t="s">
        <v>33</v>
      </c>
      <c r="D39" s="785">
        <v>3.9363941455598397</v>
      </c>
    </row>
  </sheetData>
  <mergeCells count="1">
    <mergeCell ref="D21:D23"/>
  </mergeCells>
  <conditionalFormatting sqref="D6:J6">
    <cfRule type="expression" dxfId="12" priority="22">
      <formula>AND(D$4="Actuals",E$4="Forecast")</formula>
    </cfRule>
  </conditionalFormatting>
  <conditionalFormatting sqref="D11:K11">
    <cfRule type="expression" dxfId="11" priority="16">
      <formula>D$5="Forecast"</formula>
    </cfRule>
    <cfRule type="expression" dxfId="10" priority="17">
      <formula>D$5="Actuals"</formula>
    </cfRule>
  </conditionalFormatting>
  <conditionalFormatting sqref="D8:K8">
    <cfRule type="expression" dxfId="9" priority="20">
      <formula>D$5="Forecast"</formula>
    </cfRule>
    <cfRule type="expression" dxfId="8" priority="21">
      <formula>D$5="Actuals"</formula>
    </cfRule>
  </conditionalFormatting>
  <conditionalFormatting sqref="D10:K10">
    <cfRule type="expression" dxfId="7" priority="18">
      <formula>D$5="Forecast"</formula>
    </cfRule>
    <cfRule type="expression" dxfId="6" priority="19">
      <formula>D$5="Actuals"</formula>
    </cfRule>
  </conditionalFormatting>
  <conditionalFormatting sqref="D5:K6">
    <cfRule type="expression" dxfId="5" priority="15">
      <formula>AND(D$5="Actuals",E$5="Forecast")</formula>
    </cfRule>
  </conditionalFormatting>
  <conditionalFormatting sqref="D21">
    <cfRule type="expression" dxfId="4" priority="12">
      <formula>AND(E$4="Actuals",F$4="Forecast")</formula>
    </cfRule>
  </conditionalFormatting>
  <conditionalFormatting sqref="K6">
    <cfRule type="expression" dxfId="3" priority="118">
      <formula>AND(K$4="Actuals",#REF!="Forecast")</formula>
    </cfRule>
  </conditionalFormatting>
  <conditionalFormatting sqref="K5">
    <cfRule type="expression" dxfId="2" priority="120">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M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0.75" customWidth="1"/>
    <col min="3" max="3" width="14.125" customWidth="1"/>
    <col min="4" max="11" width="11.125" customWidth="1"/>
    <col min="12" max="12" width="5" customWidth="1"/>
  </cols>
  <sheetData>
    <row r="1" spans="1:13" s="32" customFormat="1" ht="20.25">
      <c r="A1" s="379" t="s">
        <v>258</v>
      </c>
      <c r="B1" s="265"/>
      <c r="C1" s="265"/>
      <c r="D1" s="265"/>
      <c r="E1" s="265"/>
      <c r="F1" s="265"/>
      <c r="G1" s="265"/>
      <c r="H1" s="265"/>
      <c r="I1" s="266"/>
      <c r="J1" s="266"/>
      <c r="K1" s="267"/>
      <c r="L1" s="380"/>
      <c r="M1" s="34"/>
    </row>
    <row r="2" spans="1:13" s="32" customFormat="1" ht="20.25">
      <c r="A2" s="124" t="str">
        <f>'RFPR cover'!C5</f>
        <v>SPT</v>
      </c>
      <c r="B2" s="30"/>
      <c r="C2" s="30"/>
      <c r="D2" s="30"/>
      <c r="E2" s="30"/>
      <c r="F2" s="30"/>
      <c r="G2" s="30"/>
      <c r="H2" s="30"/>
      <c r="I2" s="27"/>
      <c r="J2" s="27"/>
      <c r="K2" s="27"/>
      <c r="L2" s="125"/>
      <c r="M2" s="34"/>
    </row>
    <row r="3" spans="1:13" s="32" customFormat="1" ht="20.25">
      <c r="A3" s="269">
        <f>'RFPR cover'!C7</f>
        <v>2019</v>
      </c>
      <c r="B3" s="270"/>
      <c r="C3" s="270"/>
      <c r="D3" s="270"/>
      <c r="E3" s="270"/>
      <c r="F3" s="270"/>
      <c r="G3" s="270"/>
      <c r="H3" s="270"/>
      <c r="I3" s="263"/>
      <c r="J3" s="263"/>
      <c r="K3" s="263"/>
      <c r="L3" s="271"/>
      <c r="M3" s="34"/>
    </row>
    <row r="4" spans="1:13" s="2" customFormat="1" ht="12.75" customHeight="1">
      <c r="M4" s="34"/>
    </row>
    <row r="5" spans="1:13" s="2" customFormat="1" ht="12.75" customHeight="1">
      <c r="B5" s="3"/>
      <c r="C5" s="3"/>
      <c r="D5" s="407" t="str">
        <f>IF(D6&lt;='RFPR cover'!$C$7,"Actuals","Forecast")</f>
        <v>Actuals</v>
      </c>
      <c r="E5" s="408" t="str">
        <f>IF(E6&lt;='RFPR cover'!$C$7,"Actuals","Forecast")</f>
        <v>Actuals</v>
      </c>
      <c r="F5" s="408" t="str">
        <f>IF(F6&lt;='RFPR cover'!$C$7,"Actuals","Forecast")</f>
        <v>Actuals</v>
      </c>
      <c r="G5" s="408" t="str">
        <f>IF(G6&lt;='RFPR cover'!$C$7,"Actuals","Forecast")</f>
        <v>Actuals</v>
      </c>
      <c r="H5" s="408" t="str">
        <f>IF(H6&lt;='RFPR cover'!$C$7,"Actuals","Forecast")</f>
        <v>Actuals</v>
      </c>
      <c r="I5" s="408" t="str">
        <f>IF(I6&lt;='RFPR cover'!$C$7,"Actuals","Forecast")</f>
        <v>Actuals</v>
      </c>
      <c r="J5" s="408" t="str">
        <f>IF(J6&lt;='RFPR cover'!$C$7,"Actuals","Forecast")</f>
        <v>Forecast</v>
      </c>
      <c r="K5" s="409" t="str">
        <f>IF(K6&lt;='RFPR cover'!$C$7,"Actuals","Forecast")</f>
        <v>Forecast</v>
      </c>
      <c r="M5" s="34"/>
    </row>
    <row r="6" spans="1:13" s="2" customFormat="1" ht="12.75" customHeight="1">
      <c r="C6" s="14"/>
      <c r="D6" s="117">
        <f>'RFPR cover'!$C$13</f>
        <v>2014</v>
      </c>
      <c r="E6" s="118">
        <f>D6+1</f>
        <v>2015</v>
      </c>
      <c r="F6" s="118">
        <f t="shared" ref="F6:K6" si="0">E6+1</f>
        <v>2016</v>
      </c>
      <c r="G6" s="118">
        <f t="shared" si="0"/>
        <v>2017</v>
      </c>
      <c r="H6" s="118">
        <f t="shared" si="0"/>
        <v>2018</v>
      </c>
      <c r="I6" s="118">
        <f t="shared" si="0"/>
        <v>2019</v>
      </c>
      <c r="J6" s="118">
        <f t="shared" si="0"/>
        <v>2020</v>
      </c>
      <c r="K6" s="202">
        <f t="shared" si="0"/>
        <v>2021</v>
      </c>
    </row>
    <row r="7" spans="1:13">
      <c r="D7" s="789"/>
      <c r="E7" s="789"/>
      <c r="F7" s="789"/>
      <c r="G7" s="789"/>
      <c r="H7" s="789"/>
      <c r="I7" s="789"/>
      <c r="J7" s="789"/>
      <c r="K7" s="789"/>
    </row>
    <row r="8" spans="1:13">
      <c r="B8" s="52" t="s">
        <v>453</v>
      </c>
      <c r="C8" s="218" t="str">
        <f>'RFPR cover'!$C$14</f>
        <v>£m 09/10</v>
      </c>
      <c r="D8" s="786">
        <f>(D16+D21)/Data!C34</f>
        <v>0</v>
      </c>
      <c r="E8" s="786">
        <f>(E16+E21)/Data!D34</f>
        <v>0</v>
      </c>
      <c r="F8" s="786">
        <f>(F16+F21)/Data!E34</f>
        <v>0</v>
      </c>
      <c r="G8" s="786">
        <f>(G16+G21)/Data!F34</f>
        <v>0</v>
      </c>
      <c r="H8" s="786">
        <f>(H16+H21)/Data!G34</f>
        <v>0</v>
      </c>
      <c r="I8" s="786">
        <f>(I16+I21)/Data!H34</f>
        <v>0</v>
      </c>
      <c r="J8" s="786">
        <f>(J16+J21)/Data!I34</f>
        <v>0</v>
      </c>
      <c r="K8" s="786">
        <f>(K16+K21)/Data!J34</f>
        <v>0</v>
      </c>
    </row>
    <row r="9" spans="1:13">
      <c r="D9" s="789"/>
      <c r="E9" s="789"/>
      <c r="F9" s="789"/>
      <c r="G9" s="789"/>
      <c r="H9" s="789"/>
      <c r="I9" s="789"/>
      <c r="J9" s="789"/>
      <c r="K9" s="789"/>
    </row>
    <row r="10" spans="1:13">
      <c r="B10" s="14" t="s">
        <v>437</v>
      </c>
      <c r="D10" s="789"/>
      <c r="E10" s="789"/>
      <c r="F10" s="789"/>
      <c r="G10" s="789"/>
      <c r="H10" s="789"/>
      <c r="I10" s="789"/>
      <c r="J10" s="789"/>
      <c r="K10" s="789"/>
    </row>
    <row r="11" spans="1:13">
      <c r="B11" s="45" t="s">
        <v>36</v>
      </c>
      <c r="C11" s="158" t="s">
        <v>128</v>
      </c>
      <c r="D11" s="663">
        <v>0</v>
      </c>
      <c r="E11" s="664">
        <v>0</v>
      </c>
      <c r="F11" s="664">
        <v>0</v>
      </c>
      <c r="G11" s="664">
        <v>0</v>
      </c>
      <c r="H11" s="664">
        <v>0</v>
      </c>
      <c r="I11" s="664">
        <v>0</v>
      </c>
      <c r="J11" s="664">
        <v>0</v>
      </c>
      <c r="K11" s="665">
        <v>0</v>
      </c>
    </row>
    <row r="12" spans="1:13">
      <c r="B12" s="45" t="s">
        <v>36</v>
      </c>
      <c r="C12" s="158" t="s">
        <v>128</v>
      </c>
      <c r="D12" s="663">
        <v>0</v>
      </c>
      <c r="E12" s="664">
        <v>0</v>
      </c>
      <c r="F12" s="664">
        <v>0</v>
      </c>
      <c r="G12" s="664">
        <v>0</v>
      </c>
      <c r="H12" s="664">
        <v>0</v>
      </c>
      <c r="I12" s="664">
        <v>0</v>
      </c>
      <c r="J12" s="664">
        <v>0</v>
      </c>
      <c r="K12" s="665">
        <v>0</v>
      </c>
    </row>
    <row r="13" spans="1:13">
      <c r="B13" s="45" t="s">
        <v>20</v>
      </c>
      <c r="C13" s="158" t="s">
        <v>128</v>
      </c>
      <c r="D13" s="663">
        <v>0</v>
      </c>
      <c r="E13" s="664">
        <v>0</v>
      </c>
      <c r="F13" s="664">
        <v>0</v>
      </c>
      <c r="G13" s="664">
        <v>0</v>
      </c>
      <c r="H13" s="664">
        <v>0</v>
      </c>
      <c r="I13" s="664">
        <v>0</v>
      </c>
      <c r="J13" s="664">
        <v>0</v>
      </c>
      <c r="K13" s="665">
        <v>0</v>
      </c>
    </row>
    <row r="14" spans="1:13">
      <c r="B14" s="14" t="s">
        <v>450</v>
      </c>
      <c r="C14" s="158" t="s">
        <v>128</v>
      </c>
      <c r="D14" s="786">
        <f>SUM(D11:D13)</f>
        <v>0</v>
      </c>
      <c r="E14" s="787">
        <f t="shared" ref="E14:K14" si="1">SUM(E11:E13)</f>
        <v>0</v>
      </c>
      <c r="F14" s="787">
        <f t="shared" si="1"/>
        <v>0</v>
      </c>
      <c r="G14" s="787">
        <f t="shared" si="1"/>
        <v>0</v>
      </c>
      <c r="H14" s="787">
        <f t="shared" si="1"/>
        <v>0</v>
      </c>
      <c r="I14" s="787">
        <f t="shared" si="1"/>
        <v>0</v>
      </c>
      <c r="J14" s="787">
        <f t="shared" si="1"/>
        <v>0</v>
      </c>
      <c r="K14" s="788">
        <f t="shared" si="1"/>
        <v>0</v>
      </c>
    </row>
    <row r="15" spans="1:13">
      <c r="B15" s="36" t="s">
        <v>444</v>
      </c>
      <c r="C15" s="158" t="s">
        <v>128</v>
      </c>
      <c r="D15" s="663">
        <v>0</v>
      </c>
      <c r="E15" s="664">
        <v>0</v>
      </c>
      <c r="F15" s="664">
        <v>0</v>
      </c>
      <c r="G15" s="664">
        <v>0</v>
      </c>
      <c r="H15" s="664">
        <v>0</v>
      </c>
      <c r="I15" s="664">
        <v>0</v>
      </c>
      <c r="J15" s="664">
        <v>0</v>
      </c>
      <c r="K15" s="665">
        <v>0</v>
      </c>
    </row>
    <row r="16" spans="1:13">
      <c r="B16" s="52" t="s">
        <v>451</v>
      </c>
      <c r="C16" s="158" t="s">
        <v>128</v>
      </c>
      <c r="D16" s="786">
        <f>D14-D15</f>
        <v>0</v>
      </c>
      <c r="E16" s="786">
        <f t="shared" ref="E16:K16" si="2">E14-E15</f>
        <v>0</v>
      </c>
      <c r="F16" s="786">
        <f t="shared" si="2"/>
        <v>0</v>
      </c>
      <c r="G16" s="786">
        <f t="shared" si="2"/>
        <v>0</v>
      </c>
      <c r="H16" s="786">
        <f t="shared" si="2"/>
        <v>0</v>
      </c>
      <c r="I16" s="786">
        <f t="shared" si="2"/>
        <v>0</v>
      </c>
      <c r="J16" s="786">
        <f t="shared" si="2"/>
        <v>0</v>
      </c>
      <c r="K16" s="786">
        <f t="shared" si="2"/>
        <v>0</v>
      </c>
    </row>
    <row r="18" spans="2:11">
      <c r="B18" s="14" t="s">
        <v>448</v>
      </c>
      <c r="D18" s="789"/>
      <c r="E18" s="789"/>
      <c r="F18" s="789"/>
      <c r="G18" s="789"/>
      <c r="H18" s="789"/>
      <c r="I18" s="789"/>
      <c r="J18" s="789"/>
      <c r="K18" s="789"/>
    </row>
    <row r="19" spans="2:11">
      <c r="B19" s="875" t="s">
        <v>449</v>
      </c>
      <c r="C19" s="158" t="s">
        <v>128</v>
      </c>
      <c r="D19" s="663">
        <v>0</v>
      </c>
      <c r="E19" s="664">
        <v>0</v>
      </c>
      <c r="F19" s="664">
        <v>0</v>
      </c>
      <c r="G19" s="664">
        <v>0</v>
      </c>
      <c r="H19" s="664">
        <v>0</v>
      </c>
      <c r="I19" s="664">
        <v>0</v>
      </c>
      <c r="J19" s="664">
        <v>0</v>
      </c>
      <c r="K19" s="665">
        <v>0</v>
      </c>
    </row>
    <row r="20" spans="2:11">
      <c r="B20" s="36" t="s">
        <v>444</v>
      </c>
      <c r="C20" s="158" t="s">
        <v>128</v>
      </c>
      <c r="D20" s="663">
        <v>0</v>
      </c>
      <c r="E20" s="664">
        <v>0</v>
      </c>
      <c r="F20" s="664">
        <v>0</v>
      </c>
      <c r="G20" s="664">
        <v>0</v>
      </c>
      <c r="H20" s="664">
        <v>0</v>
      </c>
      <c r="I20" s="664">
        <v>0</v>
      </c>
      <c r="J20" s="664">
        <v>0</v>
      </c>
      <c r="K20" s="665">
        <v>0</v>
      </c>
    </row>
    <row r="21" spans="2:11">
      <c r="B21" s="52" t="s">
        <v>452</v>
      </c>
      <c r="C21" s="158" t="s">
        <v>128</v>
      </c>
      <c r="D21" s="786">
        <f>D19-D20</f>
        <v>0</v>
      </c>
      <c r="E21" s="786">
        <f t="shared" ref="E21:K21" si="3">E19-E20</f>
        <v>0</v>
      </c>
      <c r="F21" s="786">
        <f t="shared" si="3"/>
        <v>0</v>
      </c>
      <c r="G21" s="786">
        <f t="shared" si="3"/>
        <v>0</v>
      </c>
      <c r="H21" s="786">
        <f t="shared" si="3"/>
        <v>0</v>
      </c>
      <c r="I21" s="786">
        <f t="shared" si="3"/>
        <v>0</v>
      </c>
      <c r="J21" s="786">
        <f t="shared" si="3"/>
        <v>0</v>
      </c>
      <c r="K21" s="786">
        <f t="shared" si="3"/>
        <v>0</v>
      </c>
    </row>
  </sheetData>
  <conditionalFormatting sqref="D6:K6">
    <cfRule type="expression" dxfId="1" priority="17">
      <formula>AND(D$4="Actuals",E$4="Forecast")</formula>
    </cfRule>
  </conditionalFormatting>
  <conditionalFormatting sqref="D5:K6">
    <cfRule type="expression" dxfId="0" priority="10">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607E369AAE694C81DB78B35F6C2191" ma:contentTypeVersion="0" ma:contentTypeDescription="Create a new document." ma:contentTypeScope="" ma:versionID="52ecb9dcf6b095733a6c10d2e39578b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55179ED1-5138-40FA-9E3E-5DAE34367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Morris, Elaine</cp:lastModifiedBy>
  <cp:lastPrinted>2019-07-10T08:15:50Z</cp:lastPrinted>
  <dcterms:created xsi:type="dcterms:W3CDTF">2018-06-13T08:32:09Z</dcterms:created>
  <dcterms:modified xsi:type="dcterms:W3CDTF">2019-09-06T14:38:50Z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-611722569</vt:i4>
  </property>
  <property fmtid="{D5CDD505-2E9C-101B-9397-08002B2CF9AE}" pid="6" name="_EmailSubject">
    <vt:lpwstr>Web Development Task Assigned - Request ID: 2715</vt:lpwstr>
  </property>
  <property fmtid="{D5CDD505-2E9C-101B-9397-08002B2CF9AE}" pid="7" name="_AuthorEmail">
    <vt:lpwstr>elaine.morris@spenergynetworks.co.uk</vt:lpwstr>
  </property>
  <property fmtid="{D5CDD505-2E9C-101B-9397-08002B2CF9AE}" pid="8" name="_AuthorEmailDisplayName">
    <vt:lpwstr>Morris, Elaine</vt:lpwstr>
  </property>
  <property fmtid="{D5CDD505-2E9C-101B-9397-08002B2CF9AE}" pid="10" name="ContentTypeId">
    <vt:lpwstr>0x0101002D607E369AAE694C81DB78B35F6C2191</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_dlc_DocIdItemGuid">
    <vt:lpwstr>24be1f38-0f6a-4097-b33f-03cf426928d4</vt:lpwstr>
  </property>
  <property fmtid="{D5CDD505-2E9C-101B-9397-08002B2CF9AE}" pid="22" name="_PreviousAdHocReviewCycleID">
    <vt:i4>913554583</vt:i4>
  </property>
</Properties>
</file>