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filterPrivacy="1" codeName="ThisWorkbook"/>
  <xr:revisionPtr revIDLastSave="0" documentId="10_ncr:100000_{8E82DB8D-BC2A-4891-A624-B95FF3F8BF36}" xr6:coauthVersionLast="31" xr6:coauthVersionMax="31" xr10:uidLastSave="{00000000-0000-0000-0000-000000000000}"/>
  <bookViews>
    <workbookView xWindow="0" yWindow="0" windowWidth="28800" windowHeight="11325" tabRatio="847" xr2:uid="{00000000-000D-0000-FFFF-FFFF00000000}"/>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8 - Net Debt" sheetId="27" r:id="rId12"/>
    <sheet name="R9 - RAV" sheetId="10" r:id="rId13"/>
    <sheet name="R10 - Tax" sheetId="29" r:id="rId14"/>
    <sheet name="R11 - Dividends" sheetId="11" r:id="rId15"/>
    <sheet name="R12 - Pensions" sheetId="19" r:id="rId16"/>
    <sheet name="R13 - Other Activities " sheetId="20" r:id="rId17"/>
  </sheets>
  <externalReferences>
    <externalReference r:id="rId18"/>
    <externalReference r:id="rId19"/>
    <externalReference r:id="rId20"/>
    <externalReference r:id="rId21"/>
    <externalReference r:id="rId22"/>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3">#REF!</definedName>
    <definedName name="ANIA" localSheetId="11">#REF!</definedName>
    <definedName name="ANIA">#REF!</definedName>
    <definedName name="AR" localSheetId="13">#REF!</definedName>
    <definedName name="AR" localSheetId="11">#REF!</definedName>
    <definedName name="AR">#REF!</definedName>
    <definedName name="ARCMt">'[1]R4 Licence Condition Values'!$G$32:$N$32</definedName>
    <definedName name="ARtDR5">'[1]R5 Input Page'!$E$48:$F$48</definedName>
    <definedName name="AUM">'[1]R5 Input Page'!$G$133:$N$133</definedName>
    <definedName name="BM" localSheetId="13">#REF!</definedName>
    <definedName name="BM" localSheetId="11">#REF!</definedName>
    <definedName name="BM">#REF!</definedName>
    <definedName name="BMt_2">'[1]R5 Input Page'!$E$65:$F$65</definedName>
    <definedName name="Bond_or_Loan_Type_List">[2]!Bond_or_loan_type_table[[#All],[Column1]]</definedName>
    <definedName name="BPC">'[1]R5 Input Page'!$G$123:$N$123</definedName>
    <definedName name="BR" localSheetId="13">#REF!</definedName>
    <definedName name="BR" localSheetId="11">#REF!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3">#REF!</definedName>
    <definedName name="CIIS" localSheetId="11">#REF!</definedName>
    <definedName name="CIIS">#REF!</definedName>
    <definedName name="CIM">'[1]R5 Input Page'!$G$71:$N$71</definedName>
    <definedName name="CM" localSheetId="13">#REF!</definedName>
    <definedName name="CM" localSheetId="11">#REF!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3">#REF!</definedName>
    <definedName name="CMLISt" localSheetId="11">#REF!</definedName>
    <definedName name="CMLISt">#REF!</definedName>
    <definedName name="CMP" localSheetId="13">#REF!</definedName>
    <definedName name="CMP" localSheetId="11">#REF!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3">#REF!</definedName>
    <definedName name="CS" localSheetId="11">#REF!</definedName>
    <definedName name="CS">#REF!</definedName>
    <definedName name="CSA" localSheetId="13">#REF!</definedName>
    <definedName name="CSA" localSheetId="11">#REF!</definedName>
    <definedName name="CSA">#REF!</definedName>
    <definedName name="CSADt">'[1]R4 Licence Condition Values'!$G$25:$N$25</definedName>
    <definedName name="CSAUt">'[1]R4 Licence Condition Values'!$G$19:$N$19</definedName>
    <definedName name="CSB" localSheetId="13">#REF!</definedName>
    <definedName name="CSB" localSheetId="11">#REF!</definedName>
    <definedName name="CSB">#REF!</definedName>
    <definedName name="CSBDt">'[1]R4 Licence Condition Values'!$G$28:$N$28</definedName>
    <definedName name="CSBUt">'[1]R4 Licence Condition Values'!$G$21:$N$21</definedName>
    <definedName name="CSC" localSheetId="13">#REF!</definedName>
    <definedName name="CSC" localSheetId="11">#REF!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3">#REF!</definedName>
    <definedName name="ICE" localSheetId="11">#REF!</definedName>
    <definedName name="ICE">#REF!</definedName>
    <definedName name="ICEO">'[1]R5 Input Page'!$G$106:$N$106</definedName>
    <definedName name="IP" localSheetId="13">#REF!</definedName>
    <definedName name="IP" localSheetId="11">#REF!</definedName>
    <definedName name="IP">#REF!</definedName>
    <definedName name="IQ" localSheetId="13">#REF!</definedName>
    <definedName name="IQ" localSheetId="11">#REF!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3">#REF!</definedName>
    <definedName name="LCN" localSheetId="11">#REF!</definedName>
    <definedName name="LCN">#REF!</definedName>
    <definedName name="LCN1t">'[1]R5 Input Page'!$G$129:$N$129</definedName>
    <definedName name="LCN2t">'[1]R5 Input Page'!$G$128:$N$128</definedName>
    <definedName name="LDR" localSheetId="13">#REF!</definedName>
    <definedName name="LDR" localSheetId="11">#REF!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3">#REF!</definedName>
    <definedName name="NIA" localSheetId="11">#REF!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3">'R10 - Tax'!$A$1:$L$45</definedName>
    <definedName name="_xlnm.Print_Area" localSheetId="14">'R11 - Dividends'!$A$1:$L$15</definedName>
    <definedName name="_xlnm.Print_Area" localSheetId="15">'R12 - Pensions'!$A$1:$K$40</definedName>
    <definedName name="_xlnm.Print_Area" localSheetId="16">'R13 - Other Activities '!$A$1:$L$15</definedName>
    <definedName name="_xlnm.Print_Area" localSheetId="5">'R2 - Revenue'!$A$1:$L$71</definedName>
    <definedName name="_xlnm.Print_Area" localSheetId="6">'R3 - Rec to totex'!$A$1:$K$83</definedName>
    <definedName name="_xlnm.Print_Area" localSheetId="7">'R4 - Totex'!$A$1:$N$169</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'R8 - Net Debt'!$A$1:$L$52</definedName>
    <definedName name="_xlnm.Print_Area" localSheetId="12">'R9 - RAV'!$A$1:$L$44</definedName>
    <definedName name="_xlnm.Print_Area" localSheetId="0">'RFPR cover'!$A$1:$K$80</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3">#REF!</definedName>
    <definedName name="QA" localSheetId="11">#REF!</definedName>
    <definedName name="QA">#REF!</definedName>
    <definedName name="QB" localSheetId="13">#REF!</definedName>
    <definedName name="QB" localSheetId="11">#REF!</definedName>
    <definedName name="QB">#REF!</definedName>
    <definedName name="QC" localSheetId="13">#REF!</definedName>
    <definedName name="QC" localSheetId="11">#REF!</definedName>
    <definedName name="QC">#REF!</definedName>
    <definedName name="QD" localSheetId="13">#REF!</definedName>
    <definedName name="QD" localSheetId="11">#REF!</definedName>
    <definedName name="QD">#REF!</definedName>
    <definedName name="QZ" localSheetId="13">#REF!</definedName>
    <definedName name="QZ" localSheetId="11">#REF!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3">#REF!</definedName>
    <definedName name="REV" localSheetId="11">#REF!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3">#REF!</definedName>
    <definedName name="SWE" localSheetId="11">#REF!</definedName>
    <definedName name="SWE">#REF!</definedName>
    <definedName name="SWPD">'[1]R5 Input Page'!$G$99:$N$99</definedName>
    <definedName name="SWPM">'[1]R5 Input Page'!$G$98:$N$98</definedName>
    <definedName name="TA" localSheetId="13">#REF!</definedName>
    <definedName name="TA" localSheetId="11">#REF!</definedName>
    <definedName name="TA">#REF!</definedName>
    <definedName name="TAP" localSheetId="13">#REF!</definedName>
    <definedName name="TAP" localSheetId="11">#REF!</definedName>
    <definedName name="TAP">#REF!</definedName>
    <definedName name="TAUt">'[1]R4 Licence Condition Values'!$G$36:$N$36</definedName>
    <definedName name="TB">'[1]R8 Pass-Through Items'!$G$46:$N$46</definedName>
    <definedName name="TBd" localSheetId="13">#REF!</definedName>
    <definedName name="TBd" localSheetId="11">#REF!</definedName>
    <definedName name="TBd">#REF!</definedName>
    <definedName name="TBP" localSheetId="13">#REF!</definedName>
    <definedName name="TBP" localSheetId="11">#REF!</definedName>
    <definedName name="TBP">#REF!</definedName>
    <definedName name="TBUt">'[1]R4 Licence Condition Values'!$G$39:$N$39</definedName>
    <definedName name="TCA" localSheetId="13">#REF!</definedName>
    <definedName name="TCA" localSheetId="11">#REF!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3">#REF!</definedName>
    <definedName name="TCB" localSheetId="11">#REF!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3">#REF!</definedName>
    <definedName name="TQA" localSheetId="11">#REF!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3">#REF!</definedName>
    <definedName name="TQB" localSheetId="11">#REF!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3">#REF!</definedName>
    <definedName name="TRT" localSheetId="11">#REF!</definedName>
    <definedName name="TRT">#REF!</definedName>
    <definedName name="TRU" localSheetId="13">#REF!</definedName>
    <definedName name="TRU" localSheetId="11">#REF!</definedName>
    <definedName name="TRU">#REF!</definedName>
    <definedName name="TTC" localSheetId="13">#REF!</definedName>
    <definedName name="TTC" localSheetId="11">#REF!</definedName>
    <definedName name="TTC">#REF!</definedName>
    <definedName name="UCPIR">'[1]R4 Licence Condition Values'!$G$27:$N$27</definedName>
    <definedName name="UNC">'[1]R5 Input Page'!$G$61:$N$61</definedName>
    <definedName name="Year">'[4]Pension Pack cover'!$B$80:$B$99</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7" i="17" l="1"/>
  <c r="J37" i="17"/>
  <c r="I37" i="17"/>
  <c r="H37" i="17"/>
  <c r="G37" i="17"/>
  <c r="F37" i="17"/>
  <c r="E37" i="17"/>
  <c r="D37" i="17"/>
  <c r="B108" i="2" l="1"/>
  <c r="C28" i="2"/>
  <c r="B109" i="2"/>
  <c r="C29" i="2"/>
  <c r="M28" i="2" l="1"/>
  <c r="M29" i="2"/>
  <c r="I18" i="15"/>
  <c r="J18" i="15" l="1"/>
  <c r="I23" i="15"/>
  <c r="J23" i="15"/>
  <c r="C107" i="17" l="1"/>
  <c r="C100" i="17"/>
  <c r="C98" i="17"/>
  <c r="C96" i="17"/>
  <c r="I13" i="11" l="1"/>
  <c r="J13" i="11"/>
  <c r="B153" i="28"/>
  <c r="A3" i="28"/>
  <c r="A2" i="28"/>
  <c r="E202" i="28"/>
  <c r="B202" i="28"/>
  <c r="E192" i="28"/>
  <c r="B192" i="28"/>
  <c r="E182" i="28"/>
  <c r="B182" i="28"/>
  <c r="F159" i="28"/>
  <c r="F158" i="28"/>
  <c r="F157" i="28"/>
  <c r="F156" i="28"/>
  <c r="F155" i="28"/>
  <c r="F154" i="28"/>
  <c r="F153" i="28"/>
  <c r="F152" i="28"/>
  <c r="D118" i="28"/>
  <c r="E118" i="28" s="1"/>
  <c r="F118" i="28" s="1"/>
  <c r="G118" i="28" s="1"/>
  <c r="H118" i="28" s="1"/>
  <c r="I118" i="28" s="1"/>
  <c r="J118" i="28" s="1"/>
  <c r="K118" i="28" s="1"/>
  <c r="L118" i="28" s="1"/>
  <c r="D105" i="28"/>
  <c r="E105" i="28" s="1"/>
  <c r="F105" i="28" s="1"/>
  <c r="G105" i="28" s="1"/>
  <c r="H105" i="28" s="1"/>
  <c r="I105" i="28" s="1"/>
  <c r="J105" i="28" s="1"/>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L72" i="28"/>
  <c r="M72" i="28" s="1"/>
  <c r="N72" i="28" s="1"/>
  <c r="O72" i="28" s="1"/>
  <c r="P72" i="28" s="1"/>
  <c r="Q72" i="28" s="1"/>
  <c r="R72" i="28" s="1"/>
  <c r="S72" i="28" s="1"/>
  <c r="T72" i="28" s="1"/>
  <c r="E62" i="28"/>
  <c r="F62" i="28" s="1"/>
  <c r="G62" i="28" s="1"/>
  <c r="H62" i="28" s="1"/>
  <c r="I62" i="28" s="1"/>
  <c r="J62" i="28" s="1"/>
  <c r="K62" i="28" s="1"/>
  <c r="L62" i="28" s="1"/>
  <c r="D62" i="28"/>
  <c r="E50" i="28"/>
  <c r="F50" i="28" s="1"/>
  <c r="G50" i="28" s="1"/>
  <c r="H50" i="28" s="1"/>
  <c r="I50" i="28" s="1"/>
  <c r="J50" i="28" s="1"/>
  <c r="D50" i="28"/>
  <c r="J43" i="28"/>
  <c r="I43" i="28"/>
  <c r="H43" i="28"/>
  <c r="F42" i="28"/>
  <c r="G42" i="28" s="1"/>
  <c r="E42" i="28"/>
  <c r="F38" i="28"/>
  <c r="G38" i="28" s="1"/>
  <c r="H38" i="28" s="1"/>
  <c r="I38" i="28" s="1"/>
  <c r="J38" i="28" s="1"/>
  <c r="E38" i="28"/>
  <c r="D33" i="28" l="1"/>
  <c r="E33" i="28" s="1"/>
  <c r="B154" i="28"/>
  <c r="B158" i="28"/>
  <c r="F33" i="28"/>
  <c r="F25" i="28"/>
  <c r="F26" i="28" s="1"/>
  <c r="F27" i="28" s="1"/>
  <c r="H42" i="28"/>
  <c r="I42" i="28" s="1"/>
  <c r="J42" i="28" s="1"/>
  <c r="E25" i="28"/>
  <c r="E26" i="28" s="1"/>
  <c r="E27" i="28" s="1"/>
  <c r="B157" i="28"/>
  <c r="B156" i="28"/>
  <c r="B160" i="28"/>
  <c r="B155" i="28"/>
  <c r="B159" i="28"/>
  <c r="G33" i="28" l="1"/>
  <c r="H33" i="28" l="1"/>
  <c r="I33" i="28" l="1"/>
  <c r="J33" i="28" l="1"/>
  <c r="K30" i="2" l="1"/>
  <c r="G30" i="2"/>
  <c r="D30" i="2" l="1"/>
  <c r="H30" i="2"/>
  <c r="E30" i="2"/>
  <c r="I30" i="2"/>
  <c r="F30" i="2"/>
  <c r="J30" i="2"/>
  <c r="B21" i="1"/>
  <c r="B3" i="1" l="1"/>
  <c r="M47" i="17" l="1"/>
  <c r="K21" i="20" l="1"/>
  <c r="J21" i="20"/>
  <c r="I21" i="20"/>
  <c r="H21" i="20"/>
  <c r="G21" i="20"/>
  <c r="F21" i="20"/>
  <c r="E21" i="20"/>
  <c r="D21" i="20"/>
  <c r="K14" i="20"/>
  <c r="K16" i="20" s="1"/>
  <c r="J14" i="20"/>
  <c r="J16" i="20" s="1"/>
  <c r="I14" i="20"/>
  <c r="I16" i="20" s="1"/>
  <c r="H14" i="20"/>
  <c r="H16" i="20" s="1"/>
  <c r="G14" i="20"/>
  <c r="G16" i="20" s="1"/>
  <c r="F14" i="20"/>
  <c r="F16" i="20" s="1"/>
  <c r="E14" i="20"/>
  <c r="E16" i="20" s="1"/>
  <c r="D14" i="20"/>
  <c r="D16" i="20" s="1"/>
  <c r="A3" i="20"/>
  <c r="A2" i="20"/>
  <c r="D36" i="19"/>
  <c r="D35" i="19"/>
  <c r="K19" i="19"/>
  <c r="J19" i="19"/>
  <c r="I19" i="19"/>
  <c r="H19" i="19"/>
  <c r="G19" i="19"/>
  <c r="F19" i="19"/>
  <c r="E19" i="19"/>
  <c r="D19" i="19"/>
  <c r="A3" i="19"/>
  <c r="A2" i="19"/>
  <c r="K13" i="11"/>
  <c r="H13" i="11"/>
  <c r="G13" i="11"/>
  <c r="F13" i="11"/>
  <c r="E13" i="11"/>
  <c r="D13" i="11"/>
  <c r="B3" i="11"/>
  <c r="A3" i="11"/>
  <c r="A2" i="11"/>
  <c r="K68" i="29"/>
  <c r="J68" i="29"/>
  <c r="I68" i="29"/>
  <c r="H68" i="29"/>
  <c r="G68" i="29"/>
  <c r="F68" i="29"/>
  <c r="E68" i="29"/>
  <c r="D68" i="29"/>
  <c r="K62" i="29"/>
  <c r="J62" i="29"/>
  <c r="I62" i="29"/>
  <c r="H62" i="29"/>
  <c r="G62" i="29"/>
  <c r="F62" i="29"/>
  <c r="E62" i="29"/>
  <c r="D62" i="29"/>
  <c r="K19" i="29"/>
  <c r="J19" i="29"/>
  <c r="I19" i="29"/>
  <c r="H19" i="29"/>
  <c r="G19" i="29"/>
  <c r="F19" i="29"/>
  <c r="E19" i="29"/>
  <c r="D19" i="29"/>
  <c r="A3" i="29"/>
  <c r="A2" i="29"/>
  <c r="K28" i="10"/>
  <c r="K31" i="10" s="1"/>
  <c r="J28" i="10"/>
  <c r="J31" i="10" s="1"/>
  <c r="I28" i="10"/>
  <c r="I31" i="10" s="1"/>
  <c r="H28" i="10"/>
  <c r="H31" i="10" s="1"/>
  <c r="G28" i="10"/>
  <c r="G31" i="10" s="1"/>
  <c r="F28" i="10"/>
  <c r="F31" i="10" s="1"/>
  <c r="E28" i="10"/>
  <c r="E31" i="10" s="1"/>
  <c r="D28" i="10"/>
  <c r="D31" i="10" s="1"/>
  <c r="K24" i="10"/>
  <c r="J24" i="10"/>
  <c r="I24" i="10"/>
  <c r="H24" i="10"/>
  <c r="G24" i="10"/>
  <c r="F24" i="10"/>
  <c r="E24" i="10"/>
  <c r="D24" i="10"/>
  <c r="K21" i="10"/>
  <c r="J21" i="10"/>
  <c r="I21" i="10"/>
  <c r="H21" i="10"/>
  <c r="G21" i="10"/>
  <c r="F21" i="10"/>
  <c r="E21" i="10"/>
  <c r="D21" i="10"/>
  <c r="D18" i="10"/>
  <c r="A3" i="10"/>
  <c r="A2" i="10"/>
  <c r="K8" i="27"/>
  <c r="K52" i="27"/>
  <c r="J52" i="27"/>
  <c r="I52" i="27"/>
  <c r="H52" i="27"/>
  <c r="G52" i="27"/>
  <c r="F52" i="27"/>
  <c r="E52" i="27"/>
  <c r="D52" i="27"/>
  <c r="I8" i="27"/>
  <c r="B3" i="27"/>
  <c r="A3" i="27"/>
  <c r="A2" i="27"/>
  <c r="L6" i="17"/>
  <c r="B3" i="17"/>
  <c r="A3" i="17"/>
  <c r="A2" i="17"/>
  <c r="K17" i="3"/>
  <c r="K18" i="4" s="1"/>
  <c r="J17" i="3"/>
  <c r="J18" i="4" s="1"/>
  <c r="I17" i="3"/>
  <c r="H17" i="3"/>
  <c r="H18" i="4" s="1"/>
  <c r="G17" i="3"/>
  <c r="G18" i="4" s="1"/>
  <c r="F17" i="3"/>
  <c r="F18" i="4" s="1"/>
  <c r="E17" i="3"/>
  <c r="E18" i="4" s="1"/>
  <c r="D17" i="3"/>
  <c r="D18" i="4" s="1"/>
  <c r="K12" i="3"/>
  <c r="K17" i="4" s="1"/>
  <c r="J12" i="3"/>
  <c r="J17" i="4" s="1"/>
  <c r="I12" i="3"/>
  <c r="H12" i="3"/>
  <c r="H17" i="4" s="1"/>
  <c r="G12" i="3"/>
  <c r="G17" i="4" s="1"/>
  <c r="F12" i="3"/>
  <c r="F17" i="4" s="1"/>
  <c r="E12" i="3"/>
  <c r="E17" i="4" s="1"/>
  <c r="D12" i="3"/>
  <c r="D17" i="4" s="1"/>
  <c r="B3" i="3"/>
  <c r="A3" i="3"/>
  <c r="A2" i="3"/>
  <c r="A110" i="5"/>
  <c r="A108" i="5"/>
  <c r="A106" i="5"/>
  <c r="K102" i="5"/>
  <c r="K15" i="4" s="1"/>
  <c r="J102" i="5"/>
  <c r="J15" i="4" s="1"/>
  <c r="I102" i="5"/>
  <c r="I15" i="4" s="1"/>
  <c r="H102" i="5"/>
  <c r="H15" i="4" s="1"/>
  <c r="G102" i="5"/>
  <c r="G15" i="4" s="1"/>
  <c r="F102" i="5"/>
  <c r="F15" i="4" s="1"/>
  <c r="E102" i="5"/>
  <c r="E15" i="4" s="1"/>
  <c r="D102" i="5"/>
  <c r="D15" i="4" s="1"/>
  <c r="A100" i="5"/>
  <c r="A111" i="5" s="1"/>
  <c r="A97" i="5"/>
  <c r="A94" i="5"/>
  <c r="A109" i="5" s="1"/>
  <c r="A91" i="5"/>
  <c r="A88" i="5"/>
  <c r="A107" i="5" s="1"/>
  <c r="A85" i="5"/>
  <c r="A82" i="5"/>
  <c r="A105" i="5" s="1"/>
  <c r="K73" i="5"/>
  <c r="J73" i="5"/>
  <c r="I73" i="5"/>
  <c r="H73" i="5"/>
  <c r="G73" i="5"/>
  <c r="F73" i="5"/>
  <c r="E73" i="5"/>
  <c r="D73" i="5"/>
  <c r="A69" i="5"/>
  <c r="I65" i="5"/>
  <c r="E65" i="5"/>
  <c r="A65" i="5"/>
  <c r="J65" i="5" s="1"/>
  <c r="K61" i="5"/>
  <c r="G61" i="5"/>
  <c r="A61" i="5"/>
  <c r="I57" i="5"/>
  <c r="E57" i="5"/>
  <c r="A57" i="5"/>
  <c r="J57" i="5" s="1"/>
  <c r="A53" i="5"/>
  <c r="I49" i="5"/>
  <c r="E49" i="5"/>
  <c r="A49" i="5"/>
  <c r="J49" i="5" s="1"/>
  <c r="A45" i="5"/>
  <c r="A44" i="5"/>
  <c r="A43" i="5"/>
  <c r="A42" i="5"/>
  <c r="A41" i="5"/>
  <c r="A40" i="5"/>
  <c r="A39" i="5"/>
  <c r="A25" i="5"/>
  <c r="A24" i="5"/>
  <c r="A23" i="5"/>
  <c r="A22" i="5"/>
  <c r="A21" i="5"/>
  <c r="K18" i="5"/>
  <c r="J18" i="5"/>
  <c r="I18" i="5"/>
  <c r="H18" i="5"/>
  <c r="G18" i="5"/>
  <c r="F18" i="5"/>
  <c r="E18" i="5"/>
  <c r="D18" i="5"/>
  <c r="M17" i="5"/>
  <c r="M16" i="5"/>
  <c r="M15" i="5"/>
  <c r="M14" i="5"/>
  <c r="M13" i="5"/>
  <c r="M12" i="5"/>
  <c r="M11" i="5"/>
  <c r="L6" i="5"/>
  <c r="A3" i="5"/>
  <c r="A2" i="5"/>
  <c r="B137" i="2"/>
  <c r="B136" i="2"/>
  <c r="B135" i="2"/>
  <c r="B134" i="2"/>
  <c r="B133" i="2"/>
  <c r="B132" i="2"/>
  <c r="K126" i="2"/>
  <c r="J126" i="2"/>
  <c r="I126" i="2"/>
  <c r="H126" i="2"/>
  <c r="G126" i="2"/>
  <c r="F126" i="2"/>
  <c r="E126" i="2"/>
  <c r="D126" i="2"/>
  <c r="B107" i="2"/>
  <c r="B106" i="2"/>
  <c r="B105" i="2"/>
  <c r="B104" i="2"/>
  <c r="B103" i="2"/>
  <c r="B102" i="2"/>
  <c r="K96" i="2"/>
  <c r="J96" i="2"/>
  <c r="I96" i="2"/>
  <c r="H96" i="2"/>
  <c r="G96" i="2"/>
  <c r="F96" i="2"/>
  <c r="E96" i="2"/>
  <c r="D96" i="2"/>
  <c r="B88" i="2"/>
  <c r="K58" i="2"/>
  <c r="J58" i="2"/>
  <c r="I58" i="2"/>
  <c r="H58" i="2"/>
  <c r="G58" i="2"/>
  <c r="F58" i="2"/>
  <c r="E58" i="2"/>
  <c r="D58" i="2"/>
  <c r="M57" i="2"/>
  <c r="M56" i="2"/>
  <c r="M55" i="2"/>
  <c r="M54" i="2"/>
  <c r="M53" i="2"/>
  <c r="M52" i="2"/>
  <c r="K46" i="2"/>
  <c r="K49" i="2" s="1"/>
  <c r="J46" i="2"/>
  <c r="I46" i="2"/>
  <c r="I60" i="2" s="1"/>
  <c r="H46" i="2"/>
  <c r="H60" i="2" s="1"/>
  <c r="G46" i="2"/>
  <c r="F46" i="2"/>
  <c r="E46" i="2"/>
  <c r="E60" i="2" s="1"/>
  <c r="D46" i="2"/>
  <c r="K44" i="2"/>
  <c r="J44" i="2"/>
  <c r="I44" i="2"/>
  <c r="H44" i="2"/>
  <c r="G44" i="2"/>
  <c r="F44" i="2"/>
  <c r="E44" i="2"/>
  <c r="D44" i="2"/>
  <c r="M43" i="2"/>
  <c r="M42" i="2"/>
  <c r="M44" i="2" s="1"/>
  <c r="M27" i="2"/>
  <c r="M26" i="2"/>
  <c r="M25" i="2"/>
  <c r="M24" i="2"/>
  <c r="M23" i="2"/>
  <c r="M22" i="2"/>
  <c r="K16" i="2"/>
  <c r="J16" i="2"/>
  <c r="I16" i="2"/>
  <c r="H16" i="2"/>
  <c r="G16" i="2"/>
  <c r="F16" i="2"/>
  <c r="E16" i="2"/>
  <c r="D16" i="2"/>
  <c r="K14" i="2"/>
  <c r="J14" i="2"/>
  <c r="I14" i="2"/>
  <c r="H14" i="2"/>
  <c r="G14" i="2"/>
  <c r="F14" i="2"/>
  <c r="E14" i="2"/>
  <c r="D14" i="2"/>
  <c r="M13" i="2"/>
  <c r="M12" i="2"/>
  <c r="L6" i="2"/>
  <c r="A3" i="2"/>
  <c r="A2" i="2"/>
  <c r="K78" i="15"/>
  <c r="J78" i="15"/>
  <c r="I78" i="15"/>
  <c r="H78" i="15"/>
  <c r="G78" i="15"/>
  <c r="F78" i="15"/>
  <c r="E78" i="15"/>
  <c r="D78" i="15"/>
  <c r="K46" i="15"/>
  <c r="J46" i="15"/>
  <c r="J48" i="15" s="1"/>
  <c r="I46" i="15"/>
  <c r="H46" i="15"/>
  <c r="G46" i="15"/>
  <c r="F46" i="15"/>
  <c r="E46" i="15"/>
  <c r="D46" i="15"/>
  <c r="K18" i="15"/>
  <c r="K23" i="15" s="1"/>
  <c r="H18" i="15"/>
  <c r="H23" i="15" s="1"/>
  <c r="G18" i="15"/>
  <c r="G23" i="15" s="1"/>
  <c r="F18" i="15"/>
  <c r="F23" i="15" s="1"/>
  <c r="E18" i="15"/>
  <c r="E23" i="15" s="1"/>
  <c r="D18" i="15"/>
  <c r="D23" i="15" s="1"/>
  <c r="A3" i="15"/>
  <c r="A2" i="15"/>
  <c r="K64" i="4"/>
  <c r="J64" i="4"/>
  <c r="I64" i="4"/>
  <c r="H64" i="4"/>
  <c r="G64" i="4"/>
  <c r="F64" i="4"/>
  <c r="E64" i="4"/>
  <c r="D64" i="4"/>
  <c r="K45" i="4"/>
  <c r="K66" i="4" s="1"/>
  <c r="K68" i="4" s="1"/>
  <c r="J45" i="4"/>
  <c r="I45" i="4"/>
  <c r="H45" i="4"/>
  <c r="H66" i="4" s="1"/>
  <c r="H68" i="4" s="1"/>
  <c r="G45" i="4"/>
  <c r="G66" i="4" s="1"/>
  <c r="G68" i="4" s="1"/>
  <c r="F45" i="4"/>
  <c r="F66" i="4" s="1"/>
  <c r="F68" i="4" s="1"/>
  <c r="E45" i="4"/>
  <c r="E66" i="4" s="1"/>
  <c r="E68" i="4" s="1"/>
  <c r="D45" i="4"/>
  <c r="D66" i="4" s="1"/>
  <c r="D68" i="4" s="1"/>
  <c r="K28" i="4"/>
  <c r="I18" i="4"/>
  <c r="I17"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C14" i="13"/>
  <c r="C44" i="2" s="1"/>
  <c r="C13" i="13"/>
  <c r="C12" i="13"/>
  <c r="C11" i="13"/>
  <c r="C10" i="13"/>
  <c r="C6" i="13"/>
  <c r="A3" i="13"/>
  <c r="A2" i="13"/>
  <c r="J80" i="15" l="1"/>
  <c r="D29" i="10"/>
  <c r="E16" i="10" s="1"/>
  <c r="E18" i="10" s="1"/>
  <c r="E29" i="10" s="1"/>
  <c r="F16" i="10" s="1"/>
  <c r="F18" i="10" s="1"/>
  <c r="F29" i="10" s="1"/>
  <c r="G16" i="10" s="1"/>
  <c r="G18" i="10" s="1"/>
  <c r="G29" i="10" s="1"/>
  <c r="H16" i="10" s="1"/>
  <c r="H18" i="10" s="1"/>
  <c r="H29" i="10" s="1"/>
  <c r="I16" i="10" s="1"/>
  <c r="I18" i="10" s="1"/>
  <c r="I29" i="10" s="1"/>
  <c r="J16" i="10" s="1"/>
  <c r="J18" i="10" s="1"/>
  <c r="J29" i="10" s="1"/>
  <c r="K16" i="10" s="1"/>
  <c r="K18" i="10" s="1"/>
  <c r="K29" i="10" s="1"/>
  <c r="F55" i="17"/>
  <c r="I66" i="4"/>
  <c r="I68" i="4" s="1"/>
  <c r="J66" i="4"/>
  <c r="J68" i="4" s="1"/>
  <c r="D6" i="15"/>
  <c r="J55" i="17"/>
  <c r="I55" i="17"/>
  <c r="M48" i="17"/>
  <c r="M73" i="5"/>
  <c r="H26" i="4"/>
  <c r="H28" i="4" s="1"/>
  <c r="M14" i="2"/>
  <c r="H8" i="27"/>
  <c r="G55" i="17"/>
  <c r="G26" i="4"/>
  <c r="G28" i="4" s="1"/>
  <c r="K26" i="4"/>
  <c r="F26" i="4"/>
  <c r="F28" i="4" s="1"/>
  <c r="J26" i="4"/>
  <c r="J28" i="4" s="1"/>
  <c r="D26" i="4"/>
  <c r="D28" i="4" s="1"/>
  <c r="E26" i="4"/>
  <c r="E28" i="4" s="1"/>
  <c r="I26" i="4"/>
  <c r="I28" i="4" s="1"/>
  <c r="J70" i="29"/>
  <c r="J74" i="29" s="1"/>
  <c r="G70" i="29"/>
  <c r="G74" i="29" s="1"/>
  <c r="D70" i="29"/>
  <c r="D74" i="29" s="1"/>
  <c r="H70" i="29"/>
  <c r="H74" i="29" s="1"/>
  <c r="K70" i="29"/>
  <c r="K74" i="29" s="1"/>
  <c r="E70" i="29"/>
  <c r="E74" i="29" s="1"/>
  <c r="I70" i="29"/>
  <c r="I74" i="29" s="1"/>
  <c r="F33" i="2"/>
  <c r="G19" i="2"/>
  <c r="K33" i="2"/>
  <c r="F48" i="15"/>
  <c r="F80" i="15" s="1"/>
  <c r="E48" i="15"/>
  <c r="E80" i="15" s="1"/>
  <c r="I48" i="15"/>
  <c r="I80" i="15" s="1"/>
  <c r="H53" i="5"/>
  <c r="D53" i="5"/>
  <c r="J53" i="5"/>
  <c r="F53" i="5"/>
  <c r="I53" i="5"/>
  <c r="E53" i="5"/>
  <c r="H69" i="5"/>
  <c r="D69" i="5"/>
  <c r="J69" i="5"/>
  <c r="F69" i="5"/>
  <c r="I69" i="5"/>
  <c r="E69" i="5"/>
  <c r="G48" i="15"/>
  <c r="G80" i="15" s="1"/>
  <c r="K48" i="15"/>
  <c r="K80" i="15" s="1"/>
  <c r="G53" i="5"/>
  <c r="G69" i="5"/>
  <c r="D48" i="15"/>
  <c r="D80" i="15" s="1"/>
  <c r="H48" i="15"/>
  <c r="H80" i="15" s="1"/>
  <c r="M30" i="2"/>
  <c r="M58" i="2"/>
  <c r="M18" i="5"/>
  <c r="K53" i="5"/>
  <c r="H61" i="5"/>
  <c r="D61" i="5"/>
  <c r="J61" i="5"/>
  <c r="F61" i="5"/>
  <c r="I61" i="5"/>
  <c r="E61" i="5"/>
  <c r="K69" i="5"/>
  <c r="E33" i="2"/>
  <c r="I33" i="2"/>
  <c r="G49" i="5"/>
  <c r="K49" i="5"/>
  <c r="G57" i="5"/>
  <c r="K57" i="5"/>
  <c r="G65" i="5"/>
  <c r="K65" i="5"/>
  <c r="M49" i="17"/>
  <c r="M50" i="17"/>
  <c r="K55" i="17"/>
  <c r="M53" i="17"/>
  <c r="J18" i="2"/>
  <c r="D49" i="5"/>
  <c r="H49" i="5"/>
  <c r="D57" i="5"/>
  <c r="H57" i="5"/>
  <c r="D65" i="5"/>
  <c r="H65" i="5"/>
  <c r="H55" i="17"/>
  <c r="M51" i="17"/>
  <c r="K23" i="27"/>
  <c r="K42" i="27" s="1"/>
  <c r="F23" i="27"/>
  <c r="F42" i="27" s="1"/>
  <c r="M52" i="17"/>
  <c r="F70" i="29"/>
  <c r="F74" i="29" s="1"/>
  <c r="D19" i="2"/>
  <c r="F48" i="2"/>
  <c r="F49" i="5"/>
  <c r="F57" i="5"/>
  <c r="F65" i="5"/>
  <c r="D23" i="27"/>
  <c r="D42" i="27" s="1"/>
  <c r="E23" i="27"/>
  <c r="E42" i="27" s="1"/>
  <c r="I61" i="2"/>
  <c r="K48" i="2"/>
  <c r="G18" i="2"/>
  <c r="K18" i="2"/>
  <c r="G32" i="2"/>
  <c r="F49" i="2"/>
  <c r="G33" i="2"/>
  <c r="E48" i="2"/>
  <c r="E64" i="2" s="1"/>
  <c r="I48" i="2"/>
  <c r="I64" i="2" s="1"/>
  <c r="E61" i="2"/>
  <c r="E6" i="15"/>
  <c r="D5" i="15"/>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50" i="1"/>
  <c r="C54" i="1"/>
  <c r="C66" i="1"/>
  <c r="D6" i="20"/>
  <c r="D6" i="19"/>
  <c r="D6" i="3"/>
  <c r="D6" i="10"/>
  <c r="D5" i="10" s="1"/>
  <c r="D6" i="27"/>
  <c r="D6" i="11"/>
  <c r="D6" i="29"/>
  <c r="D6" i="17"/>
  <c r="D6" i="4"/>
  <c r="D6" i="1"/>
  <c r="D6" i="2"/>
  <c r="D6" i="5"/>
  <c r="B10" i="2"/>
  <c r="B90" i="2" s="1"/>
  <c r="C48" i="1"/>
  <c r="C53" i="1"/>
  <c r="C12" i="2"/>
  <c r="F60" i="2"/>
  <c r="F64" i="2" s="1"/>
  <c r="F61" i="2"/>
  <c r="J60" i="2"/>
  <c r="J61" i="2"/>
  <c r="J49" i="2"/>
  <c r="J48"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9" i="2"/>
  <c r="C66" i="2"/>
  <c r="C60" i="2"/>
  <c r="C55" i="2"/>
  <c r="C81" i="2"/>
  <c r="C71" i="2"/>
  <c r="C61" i="2"/>
  <c r="C56" i="2"/>
  <c r="C18" i="5"/>
  <c r="C72" i="2"/>
  <c r="C64" i="2"/>
  <c r="C57" i="2"/>
  <c r="C53" i="2"/>
  <c r="C37" i="2"/>
  <c r="C30" i="2"/>
  <c r="C65" i="2"/>
  <c r="C54" i="2"/>
  <c r="C42" i="2"/>
  <c r="C25" i="2"/>
  <c r="C19" i="2"/>
  <c r="C13" i="2"/>
  <c r="C10" i="4"/>
  <c r="C65" i="1"/>
  <c r="C60" i="1"/>
  <c r="C56" i="1"/>
  <c r="B46" i="1"/>
  <c r="C73" i="2"/>
  <c r="C52" i="2"/>
  <c r="C49" i="2"/>
  <c r="C48" i="2"/>
  <c r="C38" i="2"/>
  <c r="C22" i="2"/>
  <c r="C14" i="2"/>
  <c r="C63" i="1"/>
  <c r="C59" i="1"/>
  <c r="C58" i="2"/>
  <c r="C43" i="2"/>
  <c r="C36" i="2"/>
  <c r="C33" i="2"/>
  <c r="C32" i="2"/>
  <c r="C26" i="2"/>
  <c r="C23" i="2"/>
  <c r="C12" i="4"/>
  <c r="C62" i="1"/>
  <c r="C58" i="1"/>
  <c r="C49" i="1"/>
  <c r="B40" i="2"/>
  <c r="B120" i="2" s="1"/>
  <c r="C52" i="1"/>
  <c r="C57" i="1"/>
  <c r="D32" i="2"/>
  <c r="D33" i="2"/>
  <c r="D18" i="2"/>
  <c r="H32" i="2"/>
  <c r="H33" i="2"/>
  <c r="H18" i="2"/>
  <c r="C18" i="2"/>
  <c r="H19" i="2"/>
  <c r="C24" i="2"/>
  <c r="C27" i="2"/>
  <c r="E19" i="2"/>
  <c r="I19" i="2"/>
  <c r="I32" i="2"/>
  <c r="G60" i="2"/>
  <c r="G61" i="2"/>
  <c r="K60" i="2"/>
  <c r="K61" i="2"/>
  <c r="K65" i="2" s="1"/>
  <c r="G48" i="2"/>
  <c r="G49" i="2"/>
  <c r="G65" i="2" s="1"/>
  <c r="E18" i="2"/>
  <c r="I18" i="2"/>
  <c r="I36" i="2" s="1"/>
  <c r="F19" i="2"/>
  <c r="J19" i="2"/>
  <c r="E32" i="2"/>
  <c r="J32" i="2"/>
  <c r="J36" i="2" s="1"/>
  <c r="J33" i="2"/>
  <c r="D61" i="2"/>
  <c r="D48" i="2"/>
  <c r="H61" i="2"/>
  <c r="H48" i="2"/>
  <c r="H64" i="2" s="1"/>
  <c r="H49" i="2"/>
  <c r="F18" i="2"/>
  <c r="K19" i="2"/>
  <c r="F32" i="2"/>
  <c r="K32" i="2"/>
  <c r="D49" i="2"/>
  <c r="D60" i="2"/>
  <c r="E49" i="2"/>
  <c r="I49" i="2"/>
  <c r="I65" i="2" s="1"/>
  <c r="E8" i="27"/>
  <c r="J23" i="27"/>
  <c r="J42" i="27" s="1"/>
  <c r="J44" i="27" s="1"/>
  <c r="J48" i="27" s="1"/>
  <c r="K47" i="27" s="1"/>
  <c r="H23" i="27"/>
  <c r="H42" i="27" s="1"/>
  <c r="G8" i="27"/>
  <c r="D55" i="17"/>
  <c r="G64" i="2" l="1"/>
  <c r="K37" i="2"/>
  <c r="K72" i="2" s="1"/>
  <c r="E6" i="17"/>
  <c r="D5" i="29"/>
  <c r="G23" i="27"/>
  <c r="G42" i="27" s="1"/>
  <c r="M46" i="17"/>
  <c r="F37" i="2"/>
  <c r="G37" i="2"/>
  <c r="G49" i="1" s="1"/>
  <c r="K28" i="17"/>
  <c r="K30" i="17" s="1"/>
  <c r="E37" i="2"/>
  <c r="E55" i="17"/>
  <c r="F44" i="27"/>
  <c r="F48" i="27" s="1"/>
  <c r="G47" i="27" s="1"/>
  <c r="F8" i="27"/>
  <c r="G28" i="17"/>
  <c r="G30" i="17" s="1"/>
  <c r="H28" i="17"/>
  <c r="H30" i="17" s="1"/>
  <c r="D28" i="17"/>
  <c r="D30" i="17" s="1"/>
  <c r="M57" i="5"/>
  <c r="I37" i="2"/>
  <c r="I49" i="1" s="1"/>
  <c r="J28" i="17"/>
  <c r="J30" i="17" s="1"/>
  <c r="E44" i="27"/>
  <c r="E48" i="27" s="1"/>
  <c r="F47" i="27" s="1"/>
  <c r="D44" i="27"/>
  <c r="D48" i="27" s="1"/>
  <c r="E47" i="27" s="1"/>
  <c r="I28" i="17"/>
  <c r="I30" i="17" s="1"/>
  <c r="F28" i="17"/>
  <c r="F30" i="17" s="1"/>
  <c r="M69" i="5"/>
  <c r="E28" i="17"/>
  <c r="E30" i="17" s="1"/>
  <c r="D50" i="15"/>
  <c r="M65" i="5"/>
  <c r="M49" i="5"/>
  <c r="M61" i="5"/>
  <c r="M53" i="5"/>
  <c r="K64" i="2"/>
  <c r="K66" i="2" s="1"/>
  <c r="G36" i="2"/>
  <c r="K36" i="2"/>
  <c r="K38" i="2" s="1"/>
  <c r="I66" i="2"/>
  <c r="J37" i="2"/>
  <c r="J38" i="2" s="1"/>
  <c r="F65" i="2"/>
  <c r="M60" i="2"/>
  <c r="M61" i="2"/>
  <c r="H37" i="2"/>
  <c r="E65" i="2"/>
  <c r="E66" i="2" s="1"/>
  <c r="D80" i="2"/>
  <c r="E6" i="2"/>
  <c r="D5" i="2"/>
  <c r="D79" i="2"/>
  <c r="E6" i="27"/>
  <c r="D5" i="27"/>
  <c r="D5" i="20"/>
  <c r="E6" i="20"/>
  <c r="F6" i="15"/>
  <c r="E5" i="15"/>
  <c r="E50" i="15" s="1"/>
  <c r="F36" i="2"/>
  <c r="I71" i="2"/>
  <c r="H36" i="2"/>
  <c r="M33" i="2"/>
  <c r="D5" i="1"/>
  <c r="E6" i="1"/>
  <c r="E6" i="29"/>
  <c r="D22" i="29"/>
  <c r="E6" i="10"/>
  <c r="E5" i="10" s="1"/>
  <c r="D40" i="10"/>
  <c r="D43" i="10" s="1"/>
  <c r="D47" i="10" s="1"/>
  <c r="D63" i="27" s="1"/>
  <c r="D32" i="10"/>
  <c r="D36" i="10"/>
  <c r="D65" i="2"/>
  <c r="M49" i="2"/>
  <c r="G66" i="2"/>
  <c r="D36" i="2"/>
  <c r="M18" i="2"/>
  <c r="H65" i="2"/>
  <c r="D64" i="2"/>
  <c r="M48" i="2"/>
  <c r="E36" i="2"/>
  <c r="M32" i="2"/>
  <c r="B17" i="5"/>
  <c r="B14" i="5"/>
  <c r="B15" i="5"/>
  <c r="B12" i="5"/>
  <c r="B13" i="5"/>
  <c r="B16" i="5"/>
  <c r="B11" i="5"/>
  <c r="J64" i="2"/>
  <c r="D5" i="4"/>
  <c r="E6" i="4"/>
  <c r="D5" i="3"/>
  <c r="E6" i="3"/>
  <c r="M19" i="2"/>
  <c r="J65"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4" i="10"/>
  <c r="D38" i="10" s="1"/>
  <c r="D37" i="2"/>
  <c r="K44" i="27"/>
  <c r="K48" i="27" s="1"/>
  <c r="K54" i="27" s="1"/>
  <c r="J8" i="27"/>
  <c r="I23" i="27"/>
  <c r="I42" i="27" s="1"/>
  <c r="G44" i="27"/>
  <c r="G48" i="27" s="1"/>
  <c r="H47" i="27" s="1"/>
  <c r="H44" i="27"/>
  <c r="H48" i="27" s="1"/>
  <c r="I47" i="27" s="1"/>
  <c r="M55" i="17"/>
  <c r="E5" i="17"/>
  <c r="F6" i="17"/>
  <c r="K49" i="1" l="1"/>
  <c r="G72" i="2"/>
  <c r="F72" i="2"/>
  <c r="E5" i="29"/>
  <c r="G38" i="2"/>
  <c r="F33" i="17"/>
  <c r="F104" i="17"/>
  <c r="J33" i="17"/>
  <c r="J104" i="17"/>
  <c r="D33" i="17"/>
  <c r="D104" i="17"/>
  <c r="G33" i="17"/>
  <c r="G104" i="17"/>
  <c r="E33" i="17"/>
  <c r="E104" i="17"/>
  <c r="K33" i="17"/>
  <c r="K104" i="17"/>
  <c r="I33" i="17"/>
  <c r="I104" i="17"/>
  <c r="H33" i="17"/>
  <c r="H104" i="17"/>
  <c r="K71" i="2"/>
  <c r="K73" i="2" s="1"/>
  <c r="F54" i="27"/>
  <c r="I72" i="2"/>
  <c r="I73" i="2" s="1"/>
  <c r="I38" i="2"/>
  <c r="G71" i="2"/>
  <c r="G73" i="2" s="1"/>
  <c r="H54" i="27"/>
  <c r="E54" i="27"/>
  <c r="D54" i="27"/>
  <c r="D39" i="17" s="1"/>
  <c r="D65" i="17" s="1"/>
  <c r="D45" i="10"/>
  <c r="D49" i="10" s="1"/>
  <c r="D46" i="10"/>
  <c r="D65" i="1" s="1"/>
  <c r="J72" i="2"/>
  <c r="F66" i="2"/>
  <c r="F49" i="1"/>
  <c r="E49" i="1"/>
  <c r="H72" i="2"/>
  <c r="J66" i="2"/>
  <c r="E72" i="2"/>
  <c r="H49" i="1"/>
  <c r="D81" i="2"/>
  <c r="D50" i="1" s="1"/>
  <c r="D72" i="2"/>
  <c r="D49" i="1"/>
  <c r="M37" i="2"/>
  <c r="D42" i="5"/>
  <c r="D41" i="5"/>
  <c r="B49" i="5"/>
  <c r="B82" i="5"/>
  <c r="B39" i="5"/>
  <c r="B51" i="1" s="1"/>
  <c r="B94" i="5"/>
  <c r="B65" i="5"/>
  <c r="B43" i="5"/>
  <c r="B55" i="1" s="1"/>
  <c r="M65" i="2"/>
  <c r="H71" i="2"/>
  <c r="H38" i="2"/>
  <c r="E80" i="2"/>
  <c r="E79" i="2"/>
  <c r="E5" i="2"/>
  <c r="F6" i="2"/>
  <c r="E34" i="10"/>
  <c r="E38" i="10" s="1"/>
  <c r="E56" i="27" s="1"/>
  <c r="F6" i="11"/>
  <c r="E5" i="11"/>
  <c r="F6" i="4"/>
  <c r="E5" i="4"/>
  <c r="B97" i="5"/>
  <c r="B44" i="5"/>
  <c r="B69" i="5"/>
  <c r="B91" i="5"/>
  <c r="B61" i="5"/>
  <c r="B42" i="5"/>
  <c r="B54" i="1" s="1"/>
  <c r="M64" i="2"/>
  <c r="D66" i="2"/>
  <c r="D71" i="2"/>
  <c r="D38" i="2"/>
  <c r="M36" i="2"/>
  <c r="F6" i="29"/>
  <c r="E22" i="29"/>
  <c r="H66" i="2"/>
  <c r="J71" i="2"/>
  <c r="D35" i="10"/>
  <c r="D39" i="29"/>
  <c r="D41" i="17"/>
  <c r="D56" i="17" s="1"/>
  <c r="D8" i="20"/>
  <c r="D57" i="1" s="1"/>
  <c r="D14" i="19"/>
  <c r="D88"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5" i="10" s="1"/>
  <c r="F6" i="1"/>
  <c r="E5" i="1"/>
  <c r="G6" i="15"/>
  <c r="F5" i="15"/>
  <c r="F50" i="15" s="1"/>
  <c r="E5" i="27"/>
  <c r="F6" i="27"/>
  <c r="J49" i="1"/>
  <c r="D45" i="5"/>
  <c r="D44" i="5"/>
  <c r="D39" i="5"/>
  <c r="F6" i="3"/>
  <c r="E5" i="3"/>
  <c r="B85" i="5"/>
  <c r="B40" i="5"/>
  <c r="B52" i="1" s="1"/>
  <c r="B53" i="5"/>
  <c r="B100" i="5"/>
  <c r="B73" i="5"/>
  <c r="B45" i="5"/>
  <c r="E38" i="2"/>
  <c r="E71" i="2"/>
  <c r="D56" i="27"/>
  <c r="F71" i="2"/>
  <c r="F38" i="2"/>
  <c r="F6" i="20"/>
  <c r="E5" i="20"/>
  <c r="I44" i="27"/>
  <c r="I48" i="27" s="1"/>
  <c r="J47" i="27" s="1"/>
  <c r="J54" i="27" s="1"/>
  <c r="G54" i="27"/>
  <c r="G6" i="17"/>
  <c r="F5" i="17"/>
  <c r="D109" i="2" l="1"/>
  <c r="D108" i="2"/>
  <c r="F73" i="2"/>
  <c r="F5" i="29"/>
  <c r="D50" i="10"/>
  <c r="D51" i="10" s="1"/>
  <c r="D53" i="10"/>
  <c r="E39" i="17"/>
  <c r="E65" i="17" s="1"/>
  <c r="J73" i="2"/>
  <c r="H73" i="2"/>
  <c r="E73" i="2"/>
  <c r="M72" i="2"/>
  <c r="D54" i="10"/>
  <c r="D43" i="17"/>
  <c r="B33" i="1"/>
  <c r="B14" i="1"/>
  <c r="D46" i="5"/>
  <c r="D51" i="1"/>
  <c r="D13" i="1" s="1"/>
  <c r="G6" i="19"/>
  <c r="F5" i="19"/>
  <c r="G6" i="4"/>
  <c r="F5" i="4"/>
  <c r="E41" i="17"/>
  <c r="E56" i="17" s="1"/>
  <c r="E8" i="20"/>
  <c r="E57" i="1" s="1"/>
  <c r="E35" i="10"/>
  <c r="E14" i="19"/>
  <c r="E39" i="29"/>
  <c r="E88" i="2"/>
  <c r="E28" i="3"/>
  <c r="E56" i="1" s="1"/>
  <c r="E81" i="2"/>
  <c r="B36" i="1"/>
  <c r="B17" i="1"/>
  <c r="D53" i="1"/>
  <c r="D15" i="1" s="1"/>
  <c r="E45" i="10"/>
  <c r="E49" i="10" s="1"/>
  <c r="E80" i="17" s="1"/>
  <c r="E46" i="10"/>
  <c r="E63" i="27"/>
  <c r="D55" i="1"/>
  <c r="D17" i="1" s="1"/>
  <c r="D52" i="1"/>
  <c r="D14" i="1" s="1"/>
  <c r="M38" i="2"/>
  <c r="B35" i="1"/>
  <c r="B16" i="1"/>
  <c r="F79" i="2"/>
  <c r="G6" i="2"/>
  <c r="F80"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23" i="2"/>
  <c r="D92" i="2"/>
  <c r="D135" i="2"/>
  <c r="D102" i="2"/>
  <c r="D134" i="2"/>
  <c r="D136" i="2"/>
  <c r="D105" i="2"/>
  <c r="D93" i="2"/>
  <c r="D122" i="2"/>
  <c r="D106" i="2"/>
  <c r="D132" i="2"/>
  <c r="D137" i="2"/>
  <c r="D104" i="2"/>
  <c r="D103" i="2"/>
  <c r="D107" i="2"/>
  <c r="D133" i="2"/>
  <c r="D86" i="29"/>
  <c r="D23" i="29"/>
  <c r="D34" i="29" s="1"/>
  <c r="D37" i="29" s="1"/>
  <c r="D73" i="2"/>
  <c r="M71" i="2"/>
  <c r="F5" i="11"/>
  <c r="G6" i="11"/>
  <c r="G6" i="3"/>
  <c r="F5" i="3"/>
  <c r="G6" i="27"/>
  <c r="F5" i="27"/>
  <c r="G6" i="10"/>
  <c r="G5" i="10" s="1"/>
  <c r="F32" i="10"/>
  <c r="F40" i="10"/>
  <c r="F43" i="10" s="1"/>
  <c r="F47" i="10" s="1"/>
  <c r="E46" i="5"/>
  <c r="E51" i="1"/>
  <c r="G6" i="29"/>
  <c r="F22" i="29"/>
  <c r="M66" i="2"/>
  <c r="F39" i="17"/>
  <c r="F34" i="10"/>
  <c r="F38" i="10" s="1"/>
  <c r="F56" i="27" s="1"/>
  <c r="B32" i="1"/>
  <c r="B13" i="1"/>
  <c r="D54" i="1"/>
  <c r="D16" i="1" s="1"/>
  <c r="N49" i="1"/>
  <c r="D11" i="1"/>
  <c r="D12" i="1"/>
  <c r="D18" i="1"/>
  <c r="D19" i="1"/>
  <c r="D80" i="17"/>
  <c r="D96" i="17" s="1"/>
  <c r="D57" i="10"/>
  <c r="I54" i="27"/>
  <c r="G5" i="17"/>
  <c r="H6" i="17"/>
  <c r="H5" i="17" s="1"/>
  <c r="D110" i="2" l="1"/>
  <c r="E109" i="2"/>
  <c r="E108" i="2"/>
  <c r="G5" i="29"/>
  <c r="E96" i="17"/>
  <c r="D58" i="10"/>
  <c r="D59" i="10" s="1"/>
  <c r="D48" i="1"/>
  <c r="D10" i="1" s="1"/>
  <c r="D20" i="1" s="1"/>
  <c r="D55" i="10"/>
  <c r="M73" i="2"/>
  <c r="E23" i="29"/>
  <c r="E34" i="29" s="1"/>
  <c r="E37" i="29" s="1"/>
  <c r="E49" i="29" s="1"/>
  <c r="E43" i="17"/>
  <c r="E86" i="17" s="1"/>
  <c r="F41" i="17"/>
  <c r="F56" i="17" s="1"/>
  <c r="F14" i="19"/>
  <c r="F35" i="10"/>
  <c r="F8" i="20"/>
  <c r="F57" i="1" s="1"/>
  <c r="F88" i="2"/>
  <c r="F28" i="3"/>
  <c r="F56" i="1" s="1"/>
  <c r="F39" i="29"/>
  <c r="F55" i="27"/>
  <c r="F57" i="27"/>
  <c r="H6" i="3"/>
  <c r="G5" i="3"/>
  <c r="D124" i="2"/>
  <c r="I6" i="15"/>
  <c r="H5" i="15"/>
  <c r="E54" i="10"/>
  <c r="E50" i="10"/>
  <c r="E65" i="1"/>
  <c r="H6" i="19"/>
  <c r="G5" i="19"/>
  <c r="F63" i="27"/>
  <c r="F45" i="10"/>
  <c r="F49" i="10" s="1"/>
  <c r="F46" i="10"/>
  <c r="D94"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81" i="2"/>
  <c r="F50" i="1" s="1"/>
  <c r="E57" i="10"/>
  <c r="E53" i="10"/>
  <c r="H6" i="4"/>
  <c r="G5" i="4"/>
  <c r="G39" i="17"/>
  <c r="G65" i="17" s="1"/>
  <c r="G34" i="10"/>
  <c r="G38" i="10" s="1"/>
  <c r="G56" i="27" s="1"/>
  <c r="F65" i="17"/>
  <c r="G22" i="29"/>
  <c r="H6" i="29"/>
  <c r="H6" i="27"/>
  <c r="G5" i="27"/>
  <c r="H6" i="11"/>
  <c r="G5" i="11"/>
  <c r="D41" i="29"/>
  <c r="D79" i="29" s="1"/>
  <c r="D49" i="29"/>
  <c r="D138" i="2"/>
  <c r="H6" i="20"/>
  <c r="G5" i="20"/>
  <c r="G79" i="2"/>
  <c r="G80" i="2"/>
  <c r="H6" i="2"/>
  <c r="G5" i="2"/>
  <c r="E104" i="2"/>
  <c r="E123" i="2"/>
  <c r="E107" i="2"/>
  <c r="E92" i="2"/>
  <c r="E103" i="2"/>
  <c r="E132" i="2"/>
  <c r="E135" i="2"/>
  <c r="E102" i="2"/>
  <c r="E110" i="2" s="1"/>
  <c r="E134" i="2"/>
  <c r="E136" i="2"/>
  <c r="E105" i="2"/>
  <c r="E93" i="2"/>
  <c r="E94" i="2" s="1"/>
  <c r="E122" i="2"/>
  <c r="E106" i="2"/>
  <c r="E137" i="2"/>
  <c r="E133" i="2"/>
  <c r="H6" i="10"/>
  <c r="H5" i="10" s="1"/>
  <c r="H32" i="10" s="1"/>
  <c r="G40" i="10"/>
  <c r="G43" i="10" s="1"/>
  <c r="G47" i="10" s="1"/>
  <c r="G32" i="10"/>
  <c r="D81" i="15"/>
  <c r="D82" i="15"/>
  <c r="F39" i="5"/>
  <c r="F44" i="5"/>
  <c r="H6" i="1"/>
  <c r="G5" i="1"/>
  <c r="E47" i="29"/>
  <c r="E59" i="27"/>
  <c r="D61" i="27"/>
  <c r="D64" i="27" s="1"/>
  <c r="D59" i="27"/>
  <c r="D62" i="27"/>
  <c r="D66" i="1" s="1"/>
  <c r="D47" i="29"/>
  <c r="E61" i="27"/>
  <c r="E64" i="27" s="1"/>
  <c r="E62" i="27"/>
  <c r="E66" i="1" s="1"/>
  <c r="E32" i="1" s="1"/>
  <c r="E50" i="1"/>
  <c r="E86" i="29"/>
  <c r="D86" i="17"/>
  <c r="I6" i="17"/>
  <c r="F108" i="2" l="1"/>
  <c r="F109" i="2"/>
  <c r="H5" i="29"/>
  <c r="E41" i="29"/>
  <c r="E79" i="29" s="1"/>
  <c r="D58" i="1"/>
  <c r="F43" i="17"/>
  <c r="E55" i="10"/>
  <c r="E124" i="2"/>
  <c r="E129" i="2" s="1"/>
  <c r="G81" i="2"/>
  <c r="G50" i="1" s="1"/>
  <c r="G55" i="27"/>
  <c r="G57" i="27"/>
  <c r="F46" i="5"/>
  <c r="F51" i="1"/>
  <c r="E63" i="17"/>
  <c r="E88" i="29" s="1"/>
  <c r="E89" i="29" s="1"/>
  <c r="E66" i="27"/>
  <c r="H5" i="1"/>
  <c r="I6" i="1"/>
  <c r="I6" i="10"/>
  <c r="I5" i="10" s="1"/>
  <c r="H40" i="10"/>
  <c r="H43" i="10" s="1"/>
  <c r="H47" i="10" s="1"/>
  <c r="E99" i="2"/>
  <c r="E98" i="2"/>
  <c r="E81" i="15"/>
  <c r="E82" i="15"/>
  <c r="G41" i="17"/>
  <c r="G14" i="19"/>
  <c r="G28" i="3"/>
  <c r="G56" i="1" s="1"/>
  <c r="G88" i="2"/>
  <c r="G35" i="10"/>
  <c r="G8" i="20"/>
  <c r="G57" i="1" s="1"/>
  <c r="G39" i="29"/>
  <c r="H5" i="4"/>
  <c r="I6" i="4"/>
  <c r="D113" i="2"/>
  <c r="D112" i="2"/>
  <c r="F57" i="10"/>
  <c r="F80" i="17"/>
  <c r="F96" i="17" s="1"/>
  <c r="E15" i="1"/>
  <c r="E17" i="1"/>
  <c r="E11" i="1"/>
  <c r="E16" i="1"/>
  <c r="E18" i="1"/>
  <c r="E14" i="1"/>
  <c r="E19" i="1"/>
  <c r="J6" i="15"/>
  <c r="I5" i="15"/>
  <c r="F86" i="29"/>
  <c r="F53" i="10"/>
  <c r="E13" i="1"/>
  <c r="E31" i="1"/>
  <c r="E12" i="1"/>
  <c r="D34" i="1"/>
  <c r="D31" i="1"/>
  <c r="D30" i="1"/>
  <c r="D33" i="1"/>
  <c r="D38" i="1"/>
  <c r="D29" i="1"/>
  <c r="D36" i="1"/>
  <c r="D32" i="1"/>
  <c r="D37" i="1"/>
  <c r="D35" i="1"/>
  <c r="I6" i="27"/>
  <c r="H5" i="27"/>
  <c r="G40" i="5"/>
  <c r="G46" i="5" s="1"/>
  <c r="D99" i="2"/>
  <c r="D98" i="2"/>
  <c r="F62" i="27"/>
  <c r="F66" i="1" s="1"/>
  <c r="F31" i="1" s="1"/>
  <c r="F61" i="27"/>
  <c r="F64" i="27" s="1"/>
  <c r="E51" i="10"/>
  <c r="E48" i="1"/>
  <c r="E58" i="10"/>
  <c r="E59" i="10" s="1"/>
  <c r="H5" i="3"/>
  <c r="I6" i="3"/>
  <c r="H5" i="19"/>
  <c r="I6" i="19"/>
  <c r="F59" i="27"/>
  <c r="F47" i="29"/>
  <c r="F105" i="2"/>
  <c r="F132" i="2"/>
  <c r="F137" i="2"/>
  <c r="F104" i="2"/>
  <c r="F133" i="2"/>
  <c r="F123" i="2"/>
  <c r="F103" i="2"/>
  <c r="F122" i="2"/>
  <c r="F107" i="2"/>
  <c r="F92" i="2"/>
  <c r="F102" i="2"/>
  <c r="F110" i="2" s="1"/>
  <c r="F134" i="2"/>
  <c r="F136" i="2"/>
  <c r="F135" i="2"/>
  <c r="F93" i="2"/>
  <c r="F106" i="2"/>
  <c r="E138" i="2"/>
  <c r="E128" i="2"/>
  <c r="D140" i="2"/>
  <c r="D141" i="2"/>
  <c r="I6" i="11"/>
  <c r="H5" i="11"/>
  <c r="I6" i="29"/>
  <c r="H22" i="29"/>
  <c r="G51" i="1"/>
  <c r="E36" i="1"/>
  <c r="E33" i="1"/>
  <c r="E35" i="1"/>
  <c r="E30" i="1"/>
  <c r="E34" i="1"/>
  <c r="F23" i="29"/>
  <c r="F34" i="29" s="1"/>
  <c r="F37" i="29" s="1"/>
  <c r="D63" i="17"/>
  <c r="D88" i="29" s="1"/>
  <c r="D89" i="29" s="1"/>
  <c r="D66" i="27"/>
  <c r="G45" i="10"/>
  <c r="G49" i="10" s="1"/>
  <c r="G63" i="27"/>
  <c r="G46" i="10"/>
  <c r="E38" i="1"/>
  <c r="H80" i="2"/>
  <c r="I6" i="2"/>
  <c r="H79" i="2"/>
  <c r="H5" i="2"/>
  <c r="H5" i="20"/>
  <c r="I6" i="20"/>
  <c r="H34" i="10"/>
  <c r="H38" i="10" s="1"/>
  <c r="H56" i="27" s="1"/>
  <c r="H39" i="17"/>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12" i="1" s="1"/>
  <c r="F50" i="10"/>
  <c r="F48" i="1" s="1"/>
  <c r="H50" i="15"/>
  <c r="D129" i="2"/>
  <c r="D128" i="2"/>
  <c r="J6" i="17"/>
  <c r="L50" i="17" s="1"/>
  <c r="I5" i="17"/>
  <c r="G109" i="2" l="1"/>
  <c r="G108" i="2"/>
  <c r="D105" i="17"/>
  <c r="D106" i="17" s="1"/>
  <c r="D107" i="17" s="1"/>
  <c r="D98" i="17" s="1"/>
  <c r="D100" i="17" s="1"/>
  <c r="E105" i="17"/>
  <c r="E106" i="17" s="1"/>
  <c r="E107" i="17" s="1"/>
  <c r="E98" i="17" s="1"/>
  <c r="E100" i="17" s="1"/>
  <c r="I5" i="29"/>
  <c r="D39" i="1"/>
  <c r="I34" i="10"/>
  <c r="I38" i="10" s="1"/>
  <c r="I56" i="27" s="1"/>
  <c r="G23" i="29"/>
  <c r="G34" i="29" s="1"/>
  <c r="G37" i="29" s="1"/>
  <c r="G41" i="29" s="1"/>
  <c r="G79" i="29" s="1"/>
  <c r="D144" i="2"/>
  <c r="D145" i="2"/>
  <c r="F94" i="2"/>
  <c r="F99" i="2" s="1"/>
  <c r="F37" i="1"/>
  <c r="D116" i="2"/>
  <c r="D151" i="2" s="1"/>
  <c r="F38" i="1"/>
  <c r="F113" i="2"/>
  <c r="D117" i="2"/>
  <c r="H57" i="27"/>
  <c r="H55" i="27"/>
  <c r="H65" i="17"/>
  <c r="I39" i="17"/>
  <c r="H81" i="2"/>
  <c r="G80" i="17"/>
  <c r="L51" i="17"/>
  <c r="F81" i="15"/>
  <c r="F82" i="15"/>
  <c r="F124" i="2"/>
  <c r="F138" i="2"/>
  <c r="J6" i="19"/>
  <c r="I5" i="19"/>
  <c r="F66" i="27"/>
  <c r="F63" i="17"/>
  <c r="F88" i="29" s="1"/>
  <c r="F89" i="29" s="1"/>
  <c r="G52" i="1"/>
  <c r="F51" i="10"/>
  <c r="G137" i="2"/>
  <c r="G104" i="2"/>
  <c r="G133" i="2"/>
  <c r="G93" i="2"/>
  <c r="G92" i="2"/>
  <c r="G102" i="2"/>
  <c r="G106" i="2"/>
  <c r="G107" i="2"/>
  <c r="G103" i="2"/>
  <c r="G132" i="2"/>
  <c r="G134" i="2"/>
  <c r="G136" i="2"/>
  <c r="G135" i="2"/>
  <c r="G123" i="2"/>
  <c r="G122" i="2"/>
  <c r="G105" i="2"/>
  <c r="E113" i="2"/>
  <c r="E117" i="2" s="1"/>
  <c r="E112" i="2"/>
  <c r="E116" i="2" s="1"/>
  <c r="H63" i="27"/>
  <c r="H46" i="10"/>
  <c r="H45" i="10"/>
  <c r="H49" i="10" s="1"/>
  <c r="E70" i="17"/>
  <c r="E66" i="17"/>
  <c r="G47" i="29"/>
  <c r="G59" i="27"/>
  <c r="F17" i="1"/>
  <c r="F15" i="1"/>
  <c r="F11" i="1"/>
  <c r="F14" i="1"/>
  <c r="F16" i="1"/>
  <c r="H44" i="5"/>
  <c r="L49" i="17"/>
  <c r="L53" i="17"/>
  <c r="L52" i="17"/>
  <c r="H54" i="1"/>
  <c r="H51" i="1"/>
  <c r="H8" i="20"/>
  <c r="H57" i="1" s="1"/>
  <c r="H28" i="3"/>
  <c r="H56" i="1" s="1"/>
  <c r="H14" i="19"/>
  <c r="H41" i="17"/>
  <c r="H56" i="17" s="1"/>
  <c r="H35" i="10"/>
  <c r="H39" i="29"/>
  <c r="H88" i="2"/>
  <c r="J6" i="20"/>
  <c r="I5" i="20"/>
  <c r="L55" i="17"/>
  <c r="F18" i="1"/>
  <c r="F30" i="1"/>
  <c r="F34" i="1"/>
  <c r="F35" i="1"/>
  <c r="F36" i="1"/>
  <c r="F33" i="1"/>
  <c r="F86" i="17"/>
  <c r="G86" i="29"/>
  <c r="I32" i="10"/>
  <c r="J6" i="10"/>
  <c r="J5" i="10" s="1"/>
  <c r="I40" i="10"/>
  <c r="I43" i="10" s="1"/>
  <c r="I47"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G65" i="1"/>
  <c r="G13" i="1" s="1"/>
  <c r="G50" i="10"/>
  <c r="G48" i="1" s="1"/>
  <c r="D66" i="17"/>
  <c r="D70" i="17"/>
  <c r="J6" i="11"/>
  <c r="I5" i="11"/>
  <c r="E58" i="1"/>
  <c r="E29" i="1"/>
  <c r="E39" i="1" s="1"/>
  <c r="E10" i="1"/>
  <c r="E20" i="1" s="1"/>
  <c r="I5" i="27"/>
  <c r="J6" i="27"/>
  <c r="F58" i="10"/>
  <c r="F59" i="10" s="1"/>
  <c r="I50" i="15"/>
  <c r="F32" i="1"/>
  <c r="F13" i="1"/>
  <c r="L48" i="17"/>
  <c r="F29" i="1"/>
  <c r="F10" i="1"/>
  <c r="F58" i="1"/>
  <c r="H41" i="5"/>
  <c r="I80" i="2"/>
  <c r="I79" i="2"/>
  <c r="I5" i="2"/>
  <c r="J6" i="2"/>
  <c r="L24" i="2" s="1"/>
  <c r="G61" i="27"/>
  <c r="G64" i="27" s="1"/>
  <c r="G62" i="27"/>
  <c r="G66" i="1" s="1"/>
  <c r="F41" i="29"/>
  <c r="F79" i="29" s="1"/>
  <c r="F49" i="29"/>
  <c r="J6" i="29"/>
  <c r="I22" i="29"/>
  <c r="E141" i="2"/>
  <c r="E145" i="2" s="1"/>
  <c r="E140" i="2"/>
  <c r="E144" i="2" s="1"/>
  <c r="J6" i="3"/>
  <c r="I5" i="3"/>
  <c r="L46" i="17"/>
  <c r="F55" i="10"/>
  <c r="K6" i="15"/>
  <c r="K5" i="15" s="1"/>
  <c r="J5" i="15"/>
  <c r="J6" i="4"/>
  <c r="I5" i="4"/>
  <c r="G54" i="10"/>
  <c r="G53" i="10"/>
  <c r="G57" i="10"/>
  <c r="G56" i="17"/>
  <c r="G96" i="17" s="1"/>
  <c r="G43" i="17"/>
  <c r="K6" i="17"/>
  <c r="J5" i="17"/>
  <c r="H109" i="2" l="1"/>
  <c r="H108" i="2"/>
  <c r="G110" i="2"/>
  <c r="D67" i="17"/>
  <c r="D50" i="29"/>
  <c r="D51" i="29" s="1"/>
  <c r="D53" i="29" s="1"/>
  <c r="D81" i="29" s="1"/>
  <c r="E50" i="29"/>
  <c r="E51" i="29" s="1"/>
  <c r="E53" i="29" s="1"/>
  <c r="E81" i="29" s="1"/>
  <c r="F105" i="17"/>
  <c r="F106" i="17" s="1"/>
  <c r="F107" i="17" s="1"/>
  <c r="F98" i="17" s="1"/>
  <c r="J5" i="29"/>
  <c r="G58" i="10"/>
  <c r="G49" i="29"/>
  <c r="F20" i="1"/>
  <c r="F39" i="1"/>
  <c r="H23" i="29"/>
  <c r="H34" i="29" s="1"/>
  <c r="H37" i="29" s="1"/>
  <c r="H41" i="29" s="1"/>
  <c r="H79" i="29" s="1"/>
  <c r="D146" i="2"/>
  <c r="F98" i="2"/>
  <c r="D152" i="2"/>
  <c r="D153" i="2" s="1"/>
  <c r="L58" i="2"/>
  <c r="L61" i="2"/>
  <c r="L32" i="2"/>
  <c r="L72" i="2"/>
  <c r="L57" i="2"/>
  <c r="L65" i="5"/>
  <c r="E146" i="2"/>
  <c r="G94" i="2"/>
  <c r="G99" i="2" s="1"/>
  <c r="F117" i="2"/>
  <c r="L54" i="2"/>
  <c r="L42" i="2"/>
  <c r="L30" i="2"/>
  <c r="L13" i="5"/>
  <c r="F112" i="2"/>
  <c r="L17" i="5"/>
  <c r="L15" i="5"/>
  <c r="D118" i="2"/>
  <c r="L64" i="2"/>
  <c r="L38" i="2"/>
  <c r="L56" i="2"/>
  <c r="L61" i="5"/>
  <c r="L69" i="5"/>
  <c r="L11" i="5"/>
  <c r="G55" i="10"/>
  <c r="J50" i="15"/>
  <c r="K6" i="3"/>
  <c r="K5" i="3" s="1"/>
  <c r="J5" i="3"/>
  <c r="H53" i="1"/>
  <c r="I51" i="1"/>
  <c r="I46" i="5"/>
  <c r="I46" i="10"/>
  <c r="I63" i="27"/>
  <c r="I45" i="10"/>
  <c r="I49" i="10" s="1"/>
  <c r="G18" i="1"/>
  <c r="L66" i="2"/>
  <c r="H53" i="10"/>
  <c r="H57" i="10"/>
  <c r="H80" i="17"/>
  <c r="H96" i="17" s="1"/>
  <c r="E152" i="2"/>
  <c r="G81" i="15"/>
  <c r="G82" i="15"/>
  <c r="G14" i="1"/>
  <c r="G33" i="1"/>
  <c r="K6" i="19"/>
  <c r="K5" i="19" s="1"/>
  <c r="J5" i="19"/>
  <c r="H50" i="1"/>
  <c r="L37" i="2"/>
  <c r="I14" i="19"/>
  <c r="I28" i="3"/>
  <c r="I56" i="1" s="1"/>
  <c r="I39" i="29"/>
  <c r="I88" i="2"/>
  <c r="I35" i="10"/>
  <c r="I8" i="20"/>
  <c r="I57" i="1" s="1"/>
  <c r="I41" i="17"/>
  <c r="I56" i="17" s="1"/>
  <c r="J34" i="10"/>
  <c r="J38" i="10" s="1"/>
  <c r="J56" i="27" s="1"/>
  <c r="J39" i="17"/>
  <c r="J40" i="10"/>
  <c r="J43" i="10" s="1"/>
  <c r="J47" i="10" s="1"/>
  <c r="K6" i="10"/>
  <c r="K5" i="10" s="1"/>
  <c r="J32" i="10"/>
  <c r="L73" i="2"/>
  <c r="K6" i="20"/>
  <c r="K5" i="20" s="1"/>
  <c r="J5" i="20"/>
  <c r="H54" i="10"/>
  <c r="H50" i="10"/>
  <c r="H65" i="1"/>
  <c r="H19" i="1" s="1"/>
  <c r="F70" i="17"/>
  <c r="F66" i="17"/>
  <c r="F140" i="2"/>
  <c r="F141" i="2"/>
  <c r="L52" i="2"/>
  <c r="L23" i="2"/>
  <c r="I65" i="17"/>
  <c r="G38" i="1"/>
  <c r="G37" i="1"/>
  <c r="G30" i="1"/>
  <c r="G35" i="1"/>
  <c r="G36" i="1"/>
  <c r="G32" i="1"/>
  <c r="G31" i="1"/>
  <c r="G34" i="1"/>
  <c r="K6" i="29"/>
  <c r="J22" i="29"/>
  <c r="G66" i="27"/>
  <c r="G63" i="17"/>
  <c r="G88" i="29" s="1"/>
  <c r="G89" i="29" s="1"/>
  <c r="I81" i="2"/>
  <c r="I55" i="27"/>
  <c r="I57" i="27"/>
  <c r="G58" i="1"/>
  <c r="G10" i="1"/>
  <c r="G29" i="1"/>
  <c r="H103" i="2"/>
  <c r="H134" i="2"/>
  <c r="H136" i="2"/>
  <c r="H135" i="2"/>
  <c r="H102" i="2"/>
  <c r="H122" i="2"/>
  <c r="H106" i="2"/>
  <c r="H105" i="2"/>
  <c r="H93" i="2"/>
  <c r="H104" i="2"/>
  <c r="H133" i="2"/>
  <c r="H132" i="2"/>
  <c r="H107" i="2"/>
  <c r="H92" i="2"/>
  <c r="H123" i="2"/>
  <c r="H137" i="2"/>
  <c r="H46" i="5"/>
  <c r="E67" i="17"/>
  <c r="H61" i="27"/>
  <c r="H64" i="27" s="1"/>
  <c r="H62" i="27"/>
  <c r="H66" i="1" s="1"/>
  <c r="H37" i="1" s="1"/>
  <c r="F129" i="2"/>
  <c r="F128" i="2"/>
  <c r="G51" i="10"/>
  <c r="H43" i="17"/>
  <c r="H47" i="29"/>
  <c r="H59" i="27"/>
  <c r="K82" i="15"/>
  <c r="K50" i="15"/>
  <c r="K5" i="17"/>
  <c r="L47" i="17"/>
  <c r="G59" i="10"/>
  <c r="K6" i="4"/>
  <c r="K5" i="4" s="1"/>
  <c r="J5" i="4"/>
  <c r="J79" i="2"/>
  <c r="J80" i="2"/>
  <c r="K6" i="2"/>
  <c r="J5" i="2"/>
  <c r="L33" i="2"/>
  <c r="L18" i="2"/>
  <c r="L19" i="2"/>
  <c r="L49" i="2"/>
  <c r="L13" i="2"/>
  <c r="L12" i="2"/>
  <c r="L53" i="2"/>
  <c r="L36" i="2"/>
  <c r="L65" i="2"/>
  <c r="L22" i="2"/>
  <c r="L60"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L55" i="5" s="1"/>
  <c r="J50" i="5"/>
  <c r="J51" i="5" s="1"/>
  <c r="J39" i="5" s="1"/>
  <c r="L39" i="5" s="1"/>
  <c r="J62" i="5"/>
  <c r="J63" i="5" s="1"/>
  <c r="J42" i="5" s="1"/>
  <c r="K6" i="5"/>
  <c r="L73" i="5"/>
  <c r="L14" i="5"/>
  <c r="L57" i="5"/>
  <c r="K6" i="1"/>
  <c r="J5" i="1"/>
  <c r="E151" i="2"/>
  <c r="E118" i="2"/>
  <c r="L43" i="2"/>
  <c r="L48" i="2"/>
  <c r="H86" i="29"/>
  <c r="L53" i="5"/>
  <c r="G124" i="2"/>
  <c r="G138" i="2"/>
  <c r="G86" i="17"/>
  <c r="L26" i="2"/>
  <c r="L55" i="2"/>
  <c r="H110" i="2" l="1"/>
  <c r="I109" i="2"/>
  <c r="I108" i="2"/>
  <c r="L28" i="2"/>
  <c r="L29" i="2"/>
  <c r="I43" i="17"/>
  <c r="F100" i="17"/>
  <c r="E69" i="17"/>
  <c r="E88" i="17" s="1"/>
  <c r="F50" i="29"/>
  <c r="F51" i="29" s="1"/>
  <c r="F53" i="29" s="1"/>
  <c r="F81" i="29" s="1"/>
  <c r="D83" i="29"/>
  <c r="D62" i="1" s="1"/>
  <c r="D61" i="1"/>
  <c r="D69" i="17"/>
  <c r="D88" i="17" s="1"/>
  <c r="D90" i="17" s="1"/>
  <c r="D60" i="1" s="1"/>
  <c r="K5" i="29"/>
  <c r="F116" i="2"/>
  <c r="F118" i="2" s="1"/>
  <c r="G66" i="17"/>
  <c r="G105" i="17"/>
  <c r="G106" i="17" s="1"/>
  <c r="G107" i="17" s="1"/>
  <c r="G98" i="17" s="1"/>
  <c r="H49" i="29"/>
  <c r="G39" i="1"/>
  <c r="G20" i="1"/>
  <c r="L51" i="5"/>
  <c r="L63" i="5"/>
  <c r="G98" i="2"/>
  <c r="H18" i="1"/>
  <c r="L44" i="2"/>
  <c r="H55" i="10"/>
  <c r="J81" i="2"/>
  <c r="J50" i="1" s="1"/>
  <c r="L67" i="5"/>
  <c r="J57" i="27"/>
  <c r="J55" i="27"/>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49" i="5"/>
  <c r="L75" i="5"/>
  <c r="L12" i="5"/>
  <c r="L18" i="5" s="1"/>
  <c r="J44" i="5"/>
  <c r="L44" i="5" s="1"/>
  <c r="L71" i="5"/>
  <c r="J41" i="5"/>
  <c r="L59" i="5"/>
  <c r="F144" i="2"/>
  <c r="H66" i="27"/>
  <c r="H63" i="17"/>
  <c r="H88" i="29" s="1"/>
  <c r="H89" i="29" s="1"/>
  <c r="H124" i="2"/>
  <c r="I47" i="29"/>
  <c r="I59" i="27"/>
  <c r="H51" i="10"/>
  <c r="H48" i="1"/>
  <c r="H13" i="1"/>
  <c r="K32" i="10"/>
  <c r="K40" i="10"/>
  <c r="K43" i="10" s="1"/>
  <c r="K47" i="10" s="1"/>
  <c r="J35" i="10"/>
  <c r="J8" i="20"/>
  <c r="J57" i="1" s="1"/>
  <c r="J41" i="17"/>
  <c r="J56" i="17" s="1"/>
  <c r="J39" i="29"/>
  <c r="J14" i="19"/>
  <c r="J28" i="3"/>
  <c r="J56" i="1" s="1"/>
  <c r="J88" i="2"/>
  <c r="I103" i="2"/>
  <c r="I123" i="2"/>
  <c r="I107" i="2"/>
  <c r="I136" i="2"/>
  <c r="I135" i="2"/>
  <c r="I102" i="2"/>
  <c r="I134" i="2"/>
  <c r="I132" i="2"/>
  <c r="I122" i="2"/>
  <c r="I104" i="2"/>
  <c r="I106" i="2"/>
  <c r="I105" i="2"/>
  <c r="I93" i="2"/>
  <c r="I92" i="2"/>
  <c r="I137" i="2"/>
  <c r="I133" i="2"/>
  <c r="H16" i="1"/>
  <c r="I65" i="1"/>
  <c r="I13" i="1" s="1"/>
  <c r="I50" i="10"/>
  <c r="I48" i="1" s="1"/>
  <c r="H15" i="1"/>
  <c r="H34" i="1"/>
  <c r="G141" i="2"/>
  <c r="G140" i="2"/>
  <c r="G128" i="2"/>
  <c r="G129" i="2"/>
  <c r="J54" i="1"/>
  <c r="L42" i="5"/>
  <c r="J55" i="1"/>
  <c r="L43" i="5"/>
  <c r="K79" i="2"/>
  <c r="K80" i="2"/>
  <c r="K5" i="2"/>
  <c r="L79" i="2"/>
  <c r="L25" i="2"/>
  <c r="L71" i="2"/>
  <c r="H81" i="15"/>
  <c r="H82" i="15"/>
  <c r="F145" i="2"/>
  <c r="J46" i="10"/>
  <c r="J45" i="10"/>
  <c r="J49" i="10" s="1"/>
  <c r="J63" i="27"/>
  <c r="I23" i="29"/>
  <c r="I34" i="29" s="1"/>
  <c r="I37" i="29" s="1"/>
  <c r="J65" i="17"/>
  <c r="I86" i="29"/>
  <c r="H86" i="17"/>
  <c r="H58" i="10"/>
  <c r="H59" i="10" s="1"/>
  <c r="E153" i="2"/>
  <c r="J51" i="1"/>
  <c r="J45" i="5"/>
  <c r="L45" i="5" s="1"/>
  <c r="K5" i="27"/>
  <c r="E83" i="29"/>
  <c r="E62" i="1" s="1"/>
  <c r="E61" i="1"/>
  <c r="H94" i="2"/>
  <c r="I50" i="1"/>
  <c r="H12" i="1"/>
  <c r="H31" i="1"/>
  <c r="I80" i="17"/>
  <c r="I86" i="17" s="1"/>
  <c r="G113" i="2"/>
  <c r="G112" i="2"/>
  <c r="K5" i="1"/>
  <c r="M49" i="1"/>
  <c r="J40" i="5"/>
  <c r="L14" i="2"/>
  <c r="H30" i="1"/>
  <c r="H36" i="1"/>
  <c r="H33" i="1"/>
  <c r="H138" i="2"/>
  <c r="K22" i="29"/>
  <c r="F67" i="17"/>
  <c r="H11" i="1"/>
  <c r="H14" i="1"/>
  <c r="H17" i="1"/>
  <c r="H32" i="1"/>
  <c r="K34" i="10"/>
  <c r="K38" i="10" s="1"/>
  <c r="K56" i="27" s="1"/>
  <c r="I54" i="10"/>
  <c r="I53" i="10"/>
  <c r="I57" i="10"/>
  <c r="H35" i="1"/>
  <c r="H38" i="1"/>
  <c r="I62" i="27"/>
  <c r="I66" i="1" s="1"/>
  <c r="I61" i="27"/>
  <c r="I64" i="27" s="1"/>
  <c r="G70" i="17"/>
  <c r="I110" i="2" l="1"/>
  <c r="L109" i="2"/>
  <c r="J109" i="2"/>
  <c r="J108" i="2"/>
  <c r="L108" i="2" s="1"/>
  <c r="E59" i="1"/>
  <c r="E21" i="1" s="1"/>
  <c r="E90" i="17"/>
  <c r="E60" i="1" s="1"/>
  <c r="E63" i="1" s="1"/>
  <c r="H105" i="17"/>
  <c r="H106" i="17" s="1"/>
  <c r="H107" i="17" s="1"/>
  <c r="H98" i="17" s="1"/>
  <c r="D22" i="1"/>
  <c r="D41" i="1"/>
  <c r="G67" i="17"/>
  <c r="G50" i="29"/>
  <c r="G51" i="29" s="1"/>
  <c r="G53" i="29" s="1"/>
  <c r="G81" i="29" s="1"/>
  <c r="F69" i="17"/>
  <c r="F88" i="17" s="1"/>
  <c r="D59" i="1"/>
  <c r="D21" i="1" s="1"/>
  <c r="I96" i="17"/>
  <c r="G100" i="17"/>
  <c r="H100" i="17"/>
  <c r="I18" i="1"/>
  <c r="M55" i="5"/>
  <c r="J46" i="5"/>
  <c r="I19" i="1"/>
  <c r="G145" i="2"/>
  <c r="L81" i="2"/>
  <c r="K81" i="2"/>
  <c r="K50" i="1" s="1"/>
  <c r="N50" i="1" s="1"/>
  <c r="I51" i="10"/>
  <c r="I58" i="10"/>
  <c r="I59" i="10" s="1"/>
  <c r="J23" i="29"/>
  <c r="J34" i="29" s="1"/>
  <c r="J37" i="29" s="1"/>
  <c r="J49" i="29" s="1"/>
  <c r="M75" i="5"/>
  <c r="J43" i="17"/>
  <c r="L43" i="17" s="1"/>
  <c r="G144" i="2"/>
  <c r="I55" i="10"/>
  <c r="M59" i="5"/>
  <c r="I124" i="2"/>
  <c r="I129" i="2" s="1"/>
  <c r="K55" i="27"/>
  <c r="K57" i="27"/>
  <c r="I35" i="1"/>
  <c r="I36" i="1"/>
  <c r="I33" i="1"/>
  <c r="I30" i="1"/>
  <c r="I34" i="1"/>
  <c r="I32" i="1"/>
  <c r="H98" i="2"/>
  <c r="H99" i="2"/>
  <c r="I49" i="29"/>
  <c r="I41" i="29"/>
  <c r="I79" i="29" s="1"/>
  <c r="I11" i="1"/>
  <c r="I17" i="1"/>
  <c r="I14" i="1"/>
  <c r="I15" i="1"/>
  <c r="I16" i="1"/>
  <c r="M56" i="1"/>
  <c r="M57" i="1"/>
  <c r="F146" i="2"/>
  <c r="F151" i="2"/>
  <c r="I66" i="27"/>
  <c r="I63" i="17"/>
  <c r="I88" i="29" s="1"/>
  <c r="I89" i="29" s="1"/>
  <c r="K35" i="10"/>
  <c r="K8" i="20"/>
  <c r="K57" i="1" s="1"/>
  <c r="K14" i="19"/>
  <c r="K28" i="3"/>
  <c r="K56" i="1" s="1"/>
  <c r="N56" i="1" s="1"/>
  <c r="K39" i="29"/>
  <c r="K88" i="2"/>
  <c r="K41" i="17"/>
  <c r="K56" i="17" s="1"/>
  <c r="G116" i="2"/>
  <c r="I38" i="1"/>
  <c r="I12" i="1"/>
  <c r="I31" i="1"/>
  <c r="M50" i="1"/>
  <c r="H113" i="2"/>
  <c r="H112" i="2"/>
  <c r="H116" i="2" s="1"/>
  <c r="J61" i="27"/>
  <c r="J64" i="27" s="1"/>
  <c r="J62" i="27"/>
  <c r="J66" i="1" s="1"/>
  <c r="J38" i="1" s="1"/>
  <c r="F152" i="2"/>
  <c r="M55" i="1"/>
  <c r="I81" i="15"/>
  <c r="I82" i="15"/>
  <c r="J54" i="10"/>
  <c r="J53" i="10"/>
  <c r="J57" i="10"/>
  <c r="H58" i="1"/>
  <c r="H29" i="1"/>
  <c r="H39" i="1" s="1"/>
  <c r="H10" i="1"/>
  <c r="H20" i="1" s="1"/>
  <c r="H66" i="17"/>
  <c r="H70" i="17"/>
  <c r="K39" i="5"/>
  <c r="M51" i="5"/>
  <c r="K42" i="5"/>
  <c r="M63" i="5"/>
  <c r="K39" i="17"/>
  <c r="H140" i="2"/>
  <c r="H141" i="2"/>
  <c r="J52" i="1"/>
  <c r="M40" i="5"/>
  <c r="L40" i="5"/>
  <c r="G117" i="2"/>
  <c r="E22" i="1"/>
  <c r="E41" i="1"/>
  <c r="J80" i="17"/>
  <c r="J96" i="17" s="1"/>
  <c r="I94" i="2"/>
  <c r="J86" i="29"/>
  <c r="K46" i="10"/>
  <c r="K45" i="10"/>
  <c r="K49" i="10" s="1"/>
  <c r="K63" i="27"/>
  <c r="H129" i="2"/>
  <c r="H128" i="2"/>
  <c r="K43" i="5"/>
  <c r="M67" i="5"/>
  <c r="K44" i="5"/>
  <c r="M44" i="5" s="1"/>
  <c r="M71" i="5"/>
  <c r="M45" i="5"/>
  <c r="J59" i="27"/>
  <c r="J47" i="29"/>
  <c r="F61" i="1"/>
  <c r="F22" i="1" s="1"/>
  <c r="F83" i="29"/>
  <c r="F62" i="1" s="1"/>
  <c r="I37" i="1"/>
  <c r="M51" i="1"/>
  <c r="J65" i="1"/>
  <c r="M13" i="1" s="1"/>
  <c r="J50" i="10"/>
  <c r="J48" i="1" s="1"/>
  <c r="M79" i="2"/>
  <c r="M54" i="1"/>
  <c r="I10" i="1"/>
  <c r="I58" i="1"/>
  <c r="I29" i="1"/>
  <c r="I138" i="2"/>
  <c r="J103" i="2"/>
  <c r="L103" i="2" s="1"/>
  <c r="J123" i="2"/>
  <c r="L123" i="2" s="1"/>
  <c r="J107" i="2"/>
  <c r="L107" i="2" s="1"/>
  <c r="J92" i="2"/>
  <c r="J135" i="2"/>
  <c r="L135" i="2" s="1"/>
  <c r="J134" i="2"/>
  <c r="L134" i="2" s="1"/>
  <c r="J106" i="2"/>
  <c r="L106" i="2" s="1"/>
  <c r="J105" i="2"/>
  <c r="L105" i="2" s="1"/>
  <c r="J93" i="2"/>
  <c r="J122" i="2"/>
  <c r="L122" i="2" s="1"/>
  <c r="J133" i="2"/>
  <c r="L133" i="2" s="1"/>
  <c r="J132" i="2"/>
  <c r="J137" i="2"/>
  <c r="L137" i="2" s="1"/>
  <c r="J104" i="2"/>
  <c r="L104" i="2" s="1"/>
  <c r="J136" i="2"/>
  <c r="L136" i="2" s="1"/>
  <c r="J102" i="2"/>
  <c r="L56" i="17"/>
  <c r="J53" i="1"/>
  <c r="M41" i="5"/>
  <c r="L41" i="5"/>
  <c r="K109" i="2" l="1"/>
  <c r="M109" i="2" s="1"/>
  <c r="K108" i="2"/>
  <c r="M108" i="2" s="1"/>
  <c r="J110" i="2"/>
  <c r="E40" i="1"/>
  <c r="E42" i="1" s="1"/>
  <c r="F90" i="17"/>
  <c r="F60" i="1" s="1"/>
  <c r="D40" i="1"/>
  <c r="D42" i="1" s="1"/>
  <c r="D23" i="1"/>
  <c r="G61" i="1"/>
  <c r="G83" i="29"/>
  <c r="G62" i="1" s="1"/>
  <c r="D63" i="1"/>
  <c r="F59" i="1"/>
  <c r="F21" i="1" s="1"/>
  <c r="F23" i="1" s="1"/>
  <c r="G69" i="17"/>
  <c r="G88" i="17" s="1"/>
  <c r="G59" i="1" s="1"/>
  <c r="G21" i="1" s="1"/>
  <c r="H67" i="17"/>
  <c r="H50" i="29"/>
  <c r="H51" i="29" s="1"/>
  <c r="H53" i="29" s="1"/>
  <c r="H81" i="29" s="1"/>
  <c r="I105" i="17"/>
  <c r="I106" i="17" s="1"/>
  <c r="I107" i="17" s="1"/>
  <c r="I98" i="17" s="1"/>
  <c r="I100" i="17" s="1"/>
  <c r="L96" i="17"/>
  <c r="E23" i="1"/>
  <c r="M32" i="1"/>
  <c r="M37" i="1"/>
  <c r="M35" i="1"/>
  <c r="M38" i="1"/>
  <c r="M36" i="1"/>
  <c r="M30" i="1"/>
  <c r="M31" i="1"/>
  <c r="I39" i="1"/>
  <c r="I20" i="1"/>
  <c r="G146" i="2"/>
  <c r="M81" i="2"/>
  <c r="J86" i="17"/>
  <c r="J35" i="1"/>
  <c r="J32" i="1"/>
  <c r="I128" i="2"/>
  <c r="J41" i="29"/>
  <c r="J79" i="29" s="1"/>
  <c r="F41" i="1"/>
  <c r="H117" i="2"/>
  <c r="J36" i="1"/>
  <c r="L124" i="2"/>
  <c r="M16" i="1"/>
  <c r="J16" i="1"/>
  <c r="L102" i="2"/>
  <c r="J10" i="1"/>
  <c r="J58" i="1"/>
  <c r="J29" i="1"/>
  <c r="K65" i="1"/>
  <c r="N11" i="1" s="1"/>
  <c r="K50" i="10"/>
  <c r="K48" i="1" s="1"/>
  <c r="N48" i="1" s="1"/>
  <c r="I113" i="2"/>
  <c r="I112" i="2"/>
  <c r="K86" i="29"/>
  <c r="K23" i="29"/>
  <c r="K34" i="29" s="1"/>
  <c r="K37" i="29" s="1"/>
  <c r="J11" i="1"/>
  <c r="J12" i="1"/>
  <c r="J13" i="1"/>
  <c r="L46" i="5"/>
  <c r="H145" i="2"/>
  <c r="K54" i="1"/>
  <c r="M42" i="5"/>
  <c r="K46" i="5"/>
  <c r="K51" i="1"/>
  <c r="M39" i="5"/>
  <c r="M48" i="1"/>
  <c r="J58" i="10"/>
  <c r="J59" i="10" s="1"/>
  <c r="J30" i="1"/>
  <c r="J31" i="1"/>
  <c r="G118" i="2"/>
  <c r="G151" i="2"/>
  <c r="I70" i="17"/>
  <c r="I66" i="17"/>
  <c r="M19" i="1"/>
  <c r="J37" i="1"/>
  <c r="J138" i="2"/>
  <c r="L132" i="2"/>
  <c r="I140" i="2"/>
  <c r="I141" i="2"/>
  <c r="I145" i="2" s="1"/>
  <c r="L138" i="2"/>
  <c r="G152" i="2"/>
  <c r="K62" i="27"/>
  <c r="K66" i="1" s="1"/>
  <c r="N31" i="1" s="1"/>
  <c r="K61" i="27"/>
  <c r="K64" i="27" s="1"/>
  <c r="J51" i="10"/>
  <c r="H144" i="2"/>
  <c r="K65" i="17"/>
  <c r="K43" i="17"/>
  <c r="M43" i="17" s="1"/>
  <c r="M10" i="1"/>
  <c r="J17" i="1"/>
  <c r="J63" i="17"/>
  <c r="J88" i="29" s="1"/>
  <c r="J89" i="29" s="1"/>
  <c r="J66" i="27"/>
  <c r="M56" i="17"/>
  <c r="J18" i="1"/>
  <c r="J81" i="15"/>
  <c r="J82" i="15"/>
  <c r="L92" i="2"/>
  <c r="J15" i="1"/>
  <c r="J34" i="1"/>
  <c r="M15" i="1"/>
  <c r="M34" i="1"/>
  <c r="M53" i="1"/>
  <c r="N53" i="1"/>
  <c r="J124" i="2"/>
  <c r="J94" i="2"/>
  <c r="L93" i="2"/>
  <c r="K55" i="1"/>
  <c r="M43" i="5"/>
  <c r="K80" i="17"/>
  <c r="K96" i="17" s="1"/>
  <c r="I99" i="2"/>
  <c r="I98" i="2"/>
  <c r="L80" i="17"/>
  <c r="J14" i="1"/>
  <c r="J33" i="1"/>
  <c r="N52" i="1"/>
  <c r="M14" i="1"/>
  <c r="M52" i="1"/>
  <c r="M33" i="1"/>
  <c r="M29" i="1"/>
  <c r="J55" i="10"/>
  <c r="M17" i="1"/>
  <c r="M12" i="1"/>
  <c r="K135" i="2"/>
  <c r="M135" i="2" s="1"/>
  <c r="K102" i="2"/>
  <c r="K134" i="2"/>
  <c r="M134" i="2" s="1"/>
  <c r="K106" i="2"/>
  <c r="M106" i="2" s="1"/>
  <c r="K107" i="2"/>
  <c r="M107" i="2" s="1"/>
  <c r="K105" i="2"/>
  <c r="M105" i="2" s="1"/>
  <c r="K93" i="2"/>
  <c r="M93" i="2" s="1"/>
  <c r="K122" i="2"/>
  <c r="M122" i="2" s="1"/>
  <c r="K136" i="2"/>
  <c r="M136" i="2" s="1"/>
  <c r="K103" i="2"/>
  <c r="M103" i="2" s="1"/>
  <c r="K123" i="2"/>
  <c r="K92" i="2"/>
  <c r="K81" i="15" s="1"/>
  <c r="K133" i="2"/>
  <c r="M133" i="2" s="1"/>
  <c r="K132" i="2"/>
  <c r="K137" i="2"/>
  <c r="M137" i="2" s="1"/>
  <c r="K104" i="2"/>
  <c r="M104" i="2" s="1"/>
  <c r="N57" i="1"/>
  <c r="J19" i="1"/>
  <c r="M18" i="1"/>
  <c r="K59" i="27"/>
  <c r="K47" i="29"/>
  <c r="K57" i="10"/>
  <c r="K54" i="10"/>
  <c r="K53" i="10"/>
  <c r="F153" i="2"/>
  <c r="M11" i="1"/>
  <c r="F40" i="1" l="1"/>
  <c r="F63" i="1"/>
  <c r="K110" i="2"/>
  <c r="G90" i="17"/>
  <c r="G60" i="1" s="1"/>
  <c r="G40" i="1" s="1"/>
  <c r="H83" i="29"/>
  <c r="H62" i="1" s="1"/>
  <c r="H61" i="1"/>
  <c r="I67" i="17"/>
  <c r="I50" i="29"/>
  <c r="I51" i="29" s="1"/>
  <c r="I53" i="29" s="1"/>
  <c r="I81" i="29" s="1"/>
  <c r="G41" i="1"/>
  <c r="G22" i="1"/>
  <c r="G23" i="1" s="1"/>
  <c r="J105" i="17"/>
  <c r="J106" i="17" s="1"/>
  <c r="J107" i="17" s="1"/>
  <c r="J98" i="17" s="1"/>
  <c r="L98" i="17" s="1"/>
  <c r="H69" i="17"/>
  <c r="H88" i="17" s="1"/>
  <c r="H90" i="17" s="1"/>
  <c r="I144" i="2"/>
  <c r="M96" i="17"/>
  <c r="L86" i="17"/>
  <c r="G63" i="1"/>
  <c r="F42" i="1"/>
  <c r="N34" i="1"/>
  <c r="M20" i="1"/>
  <c r="J20" i="1"/>
  <c r="K38" i="1"/>
  <c r="N30" i="1"/>
  <c r="J39" i="1"/>
  <c r="N33" i="1"/>
  <c r="M39" i="1"/>
  <c r="N37" i="1"/>
  <c r="N38" i="1"/>
  <c r="K86" i="17"/>
  <c r="N18" i="1"/>
  <c r="N15" i="1"/>
  <c r="K55" i="10"/>
  <c r="H152" i="2"/>
  <c r="K19" i="1"/>
  <c r="M80" i="17"/>
  <c r="H118" i="2"/>
  <c r="I117" i="2"/>
  <c r="I152" i="2" s="1"/>
  <c r="L94" i="2"/>
  <c r="K18" i="1"/>
  <c r="N10" i="1"/>
  <c r="K58" i="10"/>
  <c r="K59" i="10" s="1"/>
  <c r="N19" i="1"/>
  <c r="K51" i="10"/>
  <c r="N12" i="1"/>
  <c r="N14" i="1"/>
  <c r="M46" i="5"/>
  <c r="K16" i="1"/>
  <c r="K35" i="1"/>
  <c r="N54" i="1"/>
  <c r="N35" i="1"/>
  <c r="N16" i="1"/>
  <c r="J112" i="2"/>
  <c r="J113" i="2"/>
  <c r="L113" i="2" s="1"/>
  <c r="L110" i="2"/>
  <c r="J140" i="2"/>
  <c r="L140" i="2" s="1"/>
  <c r="J141" i="2"/>
  <c r="L141" i="2" s="1"/>
  <c r="M132" i="2"/>
  <c r="K138" i="2"/>
  <c r="I116" i="2"/>
  <c r="J128" i="2"/>
  <c r="J129" i="2"/>
  <c r="H146" i="2"/>
  <c r="K13" i="1"/>
  <c r="K32" i="1"/>
  <c r="N13" i="1"/>
  <c r="N32" i="1"/>
  <c r="N51" i="1"/>
  <c r="K41" i="29"/>
  <c r="K79" i="29" s="1"/>
  <c r="K49" i="29"/>
  <c r="K10" i="1"/>
  <c r="K29" i="1"/>
  <c r="K58" i="1"/>
  <c r="M92" i="2"/>
  <c r="M94" i="2" s="1"/>
  <c r="K124" i="2"/>
  <c r="K94" i="2"/>
  <c r="J66" i="17"/>
  <c r="J70" i="17"/>
  <c r="L70" i="17" s="1"/>
  <c r="K30" i="1"/>
  <c r="K33" i="1"/>
  <c r="K31" i="1"/>
  <c r="K34" i="1"/>
  <c r="I146" i="2"/>
  <c r="K17" i="1"/>
  <c r="K36" i="1"/>
  <c r="N17" i="1"/>
  <c r="N36" i="1"/>
  <c r="N55" i="1"/>
  <c r="J98" i="2"/>
  <c r="L98" i="2" s="1"/>
  <c r="J99" i="2"/>
  <c r="H151" i="2"/>
  <c r="N29" i="1"/>
  <c r="K11" i="1"/>
  <c r="K14" i="1"/>
  <c r="K15" i="1"/>
  <c r="K12" i="1"/>
  <c r="M102" i="2"/>
  <c r="M123" i="2"/>
  <c r="M124" i="2" s="1"/>
  <c r="K66" i="27"/>
  <c r="K63" i="17"/>
  <c r="K88" i="29" s="1"/>
  <c r="K89" i="29" s="1"/>
  <c r="K37" i="1"/>
  <c r="G153" i="2"/>
  <c r="M58" i="1"/>
  <c r="H59" i="1" l="1"/>
  <c r="G42" i="1"/>
  <c r="J100" i="17"/>
  <c r="L100" i="17" s="1"/>
  <c r="I69" i="17"/>
  <c r="I88" i="17" s="1"/>
  <c r="I90" i="17" s="1"/>
  <c r="I60" i="1" s="1"/>
  <c r="J67" i="17"/>
  <c r="J50" i="29"/>
  <c r="J51" i="29" s="1"/>
  <c r="J53" i="29" s="1"/>
  <c r="J81" i="29" s="1"/>
  <c r="K105" i="17"/>
  <c r="K106" i="17" s="1"/>
  <c r="K107" i="17" s="1"/>
  <c r="K98" i="17" s="1"/>
  <c r="I61" i="1"/>
  <c r="I83" i="29"/>
  <c r="I62" i="1" s="1"/>
  <c r="H22" i="1"/>
  <c r="H41" i="1"/>
  <c r="M86" i="17"/>
  <c r="N39" i="1"/>
  <c r="K39" i="1"/>
  <c r="N20" i="1"/>
  <c r="K20" i="1"/>
  <c r="H60" i="1"/>
  <c r="H40" i="1" s="1"/>
  <c r="J117" i="2"/>
  <c r="L99" i="2"/>
  <c r="K98" i="2"/>
  <c r="K99" i="2"/>
  <c r="M99" i="2" s="1"/>
  <c r="J145" i="2"/>
  <c r="L145" i="2" s="1"/>
  <c r="L129" i="2"/>
  <c r="H21" i="1"/>
  <c r="H153" i="2"/>
  <c r="K128" i="2"/>
  <c r="M128" i="2" s="1"/>
  <c r="K129" i="2"/>
  <c r="J144" i="2"/>
  <c r="L128" i="2"/>
  <c r="K140" i="2"/>
  <c r="M140" i="2" s="1"/>
  <c r="K141" i="2"/>
  <c r="M141" i="2" s="1"/>
  <c r="M138" i="2"/>
  <c r="K66" i="17"/>
  <c r="K70" i="17"/>
  <c r="M70" i="17" s="1"/>
  <c r="N58" i="1"/>
  <c r="I151" i="2"/>
  <c r="I153" i="2" s="1"/>
  <c r="I118" i="2"/>
  <c r="K112" i="2"/>
  <c r="M112" i="2" s="1"/>
  <c r="K113" i="2"/>
  <c r="M113" i="2" s="1"/>
  <c r="M110" i="2"/>
  <c r="J116" i="2"/>
  <c r="L116" i="2" s="1"/>
  <c r="L112" i="2"/>
  <c r="H42" i="1" l="1"/>
  <c r="M98" i="17"/>
  <c r="I59" i="1"/>
  <c r="I63" i="1" s="1"/>
  <c r="K100" i="17"/>
  <c r="M100" i="17" s="1"/>
  <c r="I41" i="1"/>
  <c r="H23" i="1"/>
  <c r="K67" i="17"/>
  <c r="K50" i="29"/>
  <c r="K51" i="29" s="1"/>
  <c r="K53" i="29" s="1"/>
  <c r="K81" i="29" s="1"/>
  <c r="J69" i="17"/>
  <c r="I22" i="1"/>
  <c r="J61" i="1"/>
  <c r="M61" i="1" s="1"/>
  <c r="J83" i="29"/>
  <c r="J62" i="1" s="1"/>
  <c r="M62" i="1" s="1"/>
  <c r="H63" i="1"/>
  <c r="K145" i="2"/>
  <c r="M145" i="2" s="1"/>
  <c r="K144" i="2"/>
  <c r="K117" i="2"/>
  <c r="J152" i="2"/>
  <c r="L152" i="2" s="1"/>
  <c r="L117" i="2"/>
  <c r="J146" i="2"/>
  <c r="L146" i="2" s="1"/>
  <c r="L144" i="2"/>
  <c r="M129" i="2"/>
  <c r="K116" i="2"/>
  <c r="M116" i="2" s="1"/>
  <c r="M98" i="2"/>
  <c r="J151" i="2"/>
  <c r="J118" i="2"/>
  <c r="L118" i="2" s="1"/>
  <c r="I21" i="1" l="1"/>
  <c r="I23" i="1"/>
  <c r="I40" i="1"/>
  <c r="I42" i="1"/>
  <c r="K152" i="2"/>
  <c r="J22" i="1"/>
  <c r="J41" i="1"/>
  <c r="M41" i="1"/>
  <c r="M22" i="1"/>
  <c r="K61" i="1"/>
  <c r="K83" i="29"/>
  <c r="K62" i="1" s="1"/>
  <c r="N62" i="1" s="1"/>
  <c r="L69" i="17"/>
  <c r="J88" i="17"/>
  <c r="K69" i="17"/>
  <c r="K146" i="2"/>
  <c r="M146" i="2" s="1"/>
  <c r="M144" i="2"/>
  <c r="M152" i="2"/>
  <c r="M117" i="2"/>
  <c r="K151" i="2"/>
  <c r="K118" i="2"/>
  <c r="M118" i="2" s="1"/>
  <c r="J153" i="2"/>
  <c r="L153" i="2" s="1"/>
  <c r="L151" i="2"/>
  <c r="K153" i="2" l="1"/>
  <c r="M69" i="17"/>
  <c r="K88" i="17"/>
  <c r="K22" i="1"/>
  <c r="K41" i="1"/>
  <c r="N41" i="1"/>
  <c r="J59" i="1"/>
  <c r="J90" i="17"/>
  <c r="L88" i="17"/>
  <c r="N61" i="1"/>
  <c r="N22" i="1"/>
  <c r="M151" i="2"/>
  <c r="M153" i="2"/>
  <c r="J60" i="1" l="1"/>
  <c r="L90" i="17"/>
  <c r="K90" i="17"/>
  <c r="K59" i="1"/>
  <c r="M88" i="17"/>
  <c r="M59" i="1"/>
  <c r="M21" i="1"/>
  <c r="M23" i="1" s="1"/>
  <c r="J21" i="1"/>
  <c r="J23" i="1" s="1"/>
  <c r="N59" i="1" l="1"/>
  <c r="K21" i="1"/>
  <c r="K23" i="1" s="1"/>
  <c r="N21" i="1"/>
  <c r="J40" i="1"/>
  <c r="J42" i="1" s="1"/>
  <c r="M40" i="1"/>
  <c r="M42" i="1" s="1"/>
  <c r="M60" i="1"/>
  <c r="M63" i="1" s="1"/>
  <c r="J63" i="1"/>
  <c r="K60" i="1"/>
  <c r="M90" i="17"/>
  <c r="K63" i="1" l="1"/>
  <c r="N40" i="1"/>
  <c r="K40" i="1"/>
  <c r="K42" i="1" s="1"/>
  <c r="N60" i="1"/>
  <c r="N23" i="1"/>
  <c r="N63" i="1" l="1"/>
  <c r="N42" i="1"/>
</calcChain>
</file>

<file path=xl/sharedStrings.xml><?xml version="1.0" encoding="utf-8"?>
<sst xmlns="http://schemas.openxmlformats.org/spreadsheetml/2006/main" count="1464" uniqueCount="628">
  <si>
    <t>Input cells</t>
  </si>
  <si>
    <t>Totals cells (of formula within worksheet)</t>
  </si>
  <si>
    <t>Referencing to other worksheets</t>
  </si>
  <si>
    <t>Referencing to other workbooks</t>
  </si>
  <si>
    <t>Check cells</t>
  </si>
  <si>
    <t>No Input</t>
  </si>
  <si>
    <t>Descriptions and pack data</t>
  </si>
  <si>
    <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</si>
  <si>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</si>
  <si>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</si>
  <si>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</si>
  <si>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</si>
  <si>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</si>
  <si>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</si>
  <si>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</si>
  <si>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</si>
  <si>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</si>
  <si>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</si>
  <si>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</si>
  <si>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</si>
  <si>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External Net Interest</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</si>
  <si>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</si>
  <si>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</si>
  <si>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</si>
  <si>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</si>
  <si>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</si>
  <si>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</si>
  <si>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</si>
  <si>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</si>
  <si>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</si>
  <si>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</si>
  <si>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</si>
  <si>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</si>
  <si>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</si>
  <si>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</si>
  <si>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</si>
  <si>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</si>
  <si>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</si>
  <si>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</si>
  <si>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</si>
  <si>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</si>
  <si>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</si>
  <si>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</si>
  <si>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</si>
  <si>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</si>
  <si>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</si>
  <si>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</si>
  <si>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</si>
  <si>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</si>
  <si>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</si>
  <si>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</si>
  <si>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</si>
  <si>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</si>
  <si>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</si>
  <si>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</si>
  <si>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</si>
  <si>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</si>
  <si>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</si>
  <si>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</si>
  <si>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</si>
  <si>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</si>
  <si>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</si>
  <si>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</si>
  <si>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</si>
  <si>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</si>
  <si>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</si>
  <si>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</si>
  <si>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</si>
  <si>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</si>
  <si>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</si>
  <si>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</si>
  <si>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</si>
  <si>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</si>
  <si>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</si>
  <si>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</si>
  <si>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</si>
  <si>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</si>
  <si>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</si>
  <si>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</si>
  <si>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</si>
  <si>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</si>
  <si>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</si>
  <si>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</si>
  <si>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</si>
  <si>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</si>
  <si>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</si>
  <si>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</si>
  <si>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</si>
  <si>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</si>
  <si>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</si>
  <si>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</si>
  <si>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</si>
  <si>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</si>
  <si>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</si>
  <si>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</si>
  <si>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</si>
  <si>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</si>
  <si>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</si>
  <si>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</si>
  <si>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</si>
  <si>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</si>
  <si>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</si>
  <si>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</si>
  <si>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</si>
  <si>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</si>
  <si>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</si>
  <si>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</si>
  <si>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</si>
  <si>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</si>
  <si>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</si>
  <si>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</si>
  <si>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</si>
  <si>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</si>
  <si>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</si>
  <si>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</si>
  <si>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</si>
  <si>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</si>
  <si>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</si>
  <si>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</si>
  <si>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</si>
  <si>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</si>
  <si>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</si>
  <si>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</si>
  <si>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</si>
  <si>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</si>
  <si>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</si>
  <si>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</si>
  <si>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</si>
  <si>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</si>
  <si>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</si>
  <si>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</si>
  <si>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</si>
  <si>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</si>
  <si>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</si>
  <si>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</si>
  <si>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</si>
  <si>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</si>
  <si>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</si>
  <si>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</si>
  <si>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</si>
  <si>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</si>
  <si>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</si>
  <si>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</si>
  <si>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</si>
  <si>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</si>
  <si>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</si>
  <si>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</si>
  <si>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</si>
  <si>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</si>
  <si>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</si>
  <si>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</si>
  <si>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</si>
  <si>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</si>
  <si>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</si>
  <si>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</si>
  <si>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</si>
  <si>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</si>
  <si>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</si>
  <si>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</si>
  <si>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</si>
  <si>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</si>
  <si>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</si>
  <si>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</si>
  <si>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</si>
  <si>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</si>
  <si>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</si>
  <si>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</si>
  <si>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</si>
  <si>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</si>
  <si>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</si>
  <si>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</si>
  <si>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</si>
  <si>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</si>
  <si>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</si>
  <si>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</si>
  <si>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</si>
  <si>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</si>
  <si>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</si>
  <si>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</si>
  <si>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</si>
  <si>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</si>
  <si>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</si>
  <si>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</si>
  <si>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</si>
  <si>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</si>
  <si>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</si>
  <si>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</si>
  <si>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</si>
  <si>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</si>
  <si>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</si>
  <si>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</si>
  <si>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</si>
  <si>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</si>
  <si>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</si>
  <si>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</si>
  <si>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</si>
  <si>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</si>
  <si>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</si>
  <si>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</si>
  <si>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</si>
  <si>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</si>
  <si>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</si>
  <si>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</si>
  <si>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</si>
  <si>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</si>
  <si>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</si>
  <si>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</si>
  <si>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</si>
  <si>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</si>
  <si>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</si>
  <si>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</si>
  <si>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</si>
  <si>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</si>
  <si>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</si>
  <si>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</si>
  <si>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</si>
  <si>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</si>
  <si>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</si>
  <si>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</si>
  <si>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</si>
  <si>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</si>
  <si>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</si>
  <si>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</si>
  <si>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</si>
  <si>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</si>
  <si>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</si>
  <si>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</si>
  <si>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</si>
  <si>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</si>
  <si>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</si>
  <si>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</si>
  <si>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</si>
  <si>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</si>
  <si>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</si>
  <si>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</si>
  <si>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</si>
  <si>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</si>
  <si>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</si>
  <si>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</si>
  <si>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</si>
  <si>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</si>
  <si>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</si>
  <si>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</si>
  <si>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</si>
  <si>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</si>
  <si>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</si>
  <si>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</si>
  <si>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</si>
  <si>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</si>
  <si>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</si>
  <si>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</si>
  <si>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</si>
  <si>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</si>
  <si>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</si>
  <si>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</si>
  <si>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</si>
  <si>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</si>
  <si>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</si>
  <si>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</si>
  <si>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</si>
  <si>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</si>
  <si>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</si>
  <si>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</si>
  <si>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</si>
  <si>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</si>
  <si>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</si>
  <si>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</si>
  <si>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</si>
  <si>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</si>
  <si>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</si>
  <si>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</si>
  <si>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</si>
  <si>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</si>
  <si>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</si>
  <si>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</si>
  <si>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</si>
  <si>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</si>
  <si>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t>£m</t>
  </si>
  <si>
    <t>Debt issuance expenses (inc. amortisation to discounts that had previously benefitted from a tax deduction)</t>
  </si>
  <si>
    <t>R8a - Net Debt input</t>
  </si>
  <si>
    <t>Reference rate</t>
  </si>
  <si>
    <t>Special features</t>
  </si>
  <si>
    <t>Inflation-linked</t>
  </si>
  <si>
    <t>RPI 12 month</t>
  </si>
  <si>
    <t>Floating</t>
  </si>
  <si>
    <t>Fixed rate</t>
  </si>
  <si>
    <t>Counterparty</t>
  </si>
  <si>
    <t>EIB</t>
  </si>
  <si>
    <t>Guarantees given on behalf of other group companies (per Notes to the Accounts) (+ve)</t>
  </si>
  <si>
    <t>Currency SWAPS</t>
  </si>
  <si>
    <t>Currency</t>
  </si>
  <si>
    <t>LIBOR 6 month</t>
  </si>
  <si>
    <t>RBS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</si>
  <si>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</si>
  <si>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</si>
  <si>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</si>
  <si>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</si>
  <si>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</si>
  <si>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</si>
  <si>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Net Interest Per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</si>
  <si>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</si>
  <si>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</si>
  <si>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</si>
  <si>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</si>
  <si>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</si>
  <si>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</si>
  <si>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</si>
  <si>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</si>
  <si>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</si>
  <si>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</si>
  <si>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</si>
  <si>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</si>
  <si>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</si>
  <si>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</si>
  <si>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</si>
  <si>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</si>
  <si>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</si>
  <si>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</si>
  <si>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</si>
  <si>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</si>
  <si>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</si>
  <si>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</si>
  <si>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</si>
  <si>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</si>
  <si>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</si>
  <si>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</si>
  <si>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</si>
  <si>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</si>
  <si>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</si>
  <si>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</si>
  <si>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</si>
  <si>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</si>
  <si>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</si>
  <si>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</si>
  <si>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</si>
  <si>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</si>
  <si>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</si>
  <si>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</si>
  <si>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</si>
  <si>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</si>
  <si>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</si>
  <si>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</si>
  <si>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</si>
  <si>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</si>
  <si>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</si>
  <si>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</si>
  <si>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</si>
  <si>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</si>
  <si>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</si>
  <si>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</si>
  <si>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</si>
  <si>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</si>
  <si>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</si>
  <si>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</si>
  <si>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</si>
  <si>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</si>
  <si>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</si>
  <si>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</si>
  <si>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</si>
  <si>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</si>
  <si>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</si>
  <si>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</si>
  <si>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</si>
  <si>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</si>
  <si>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</si>
  <si>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</si>
  <si>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</si>
  <si>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</si>
  <si>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</si>
  <si>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</si>
  <si>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</si>
  <si>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</si>
  <si>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</si>
  <si>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</si>
  <si>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</si>
  <si>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</si>
  <si>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</si>
  <si>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</si>
  <si>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</si>
  <si>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</si>
  <si>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</si>
  <si>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</si>
  <si>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</si>
  <si>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</si>
  <si>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</si>
  <si>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</si>
  <si>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</si>
  <si>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</si>
  <si>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</si>
  <si>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</si>
  <si>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</si>
  <si>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</si>
  <si>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</si>
  <si>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</si>
  <si>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</si>
  <si>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</si>
  <si>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</si>
  <si>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</si>
  <si>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</si>
  <si>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</si>
  <si>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</si>
  <si>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</si>
  <si>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</si>
  <si>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</si>
  <si>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</si>
  <si>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</si>
  <si>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</si>
  <si>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</si>
  <si>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</si>
  <si>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</si>
  <si>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</si>
  <si>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</si>
  <si>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</si>
  <si>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</si>
  <si>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</si>
  <si>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</si>
  <si>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</si>
  <si>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</si>
  <si>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</si>
  <si>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</si>
  <si>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</si>
  <si>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</si>
  <si>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</si>
  <si>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</si>
  <si>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</si>
  <si>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</si>
  <si>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</si>
  <si>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</si>
  <si>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</si>
  <si>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</si>
  <si>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</si>
  <si>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</si>
  <si>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</si>
  <si>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</si>
  <si>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</si>
  <si>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</si>
  <si>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</si>
  <si>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</si>
  <si>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</si>
  <si>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</si>
  <si>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</si>
  <si>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</si>
  <si>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</si>
  <si>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Guaranteed Standard (GS) payments</t>
  </si>
  <si>
    <t>Total GS payments</t>
  </si>
  <si>
    <t>Total Ofgem related fines and penalties</t>
  </si>
  <si>
    <t>Post-tax total fines and penalties</t>
  </si>
  <si>
    <t>Post-tax total GS payments</t>
  </si>
  <si>
    <t>Post-tax total fines and penalties (including GS payments)</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</si>
  <si>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</si>
  <si>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</si>
  <si>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</si>
  <si>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</si>
  <si>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</si>
  <si>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</si>
  <si>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</si>
  <si>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</si>
  <si>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</si>
  <si>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</si>
  <si>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</si>
  <si>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</si>
  <si>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</si>
  <si>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</si>
  <si>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</si>
  <si>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</si>
  <si>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</si>
  <si>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</si>
  <si>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</si>
  <si>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</si>
  <si>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</si>
  <si>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</si>
  <si>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</si>
  <si>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</si>
  <si>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</si>
  <si>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</si>
  <si>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</si>
  <si>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</si>
  <si>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</si>
  <si>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</si>
  <si>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</si>
  <si>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</si>
  <si>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</si>
  <si>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</si>
  <si>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</si>
  <si>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</si>
  <si>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</si>
  <si>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</si>
  <si>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</si>
  <si>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Add back Debt Issuance expenses</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</si>
  <si>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</si>
  <si>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</si>
  <si>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</si>
  <si>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</si>
  <si>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</si>
  <si>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</si>
  <si>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</si>
  <si>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</si>
  <si>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</si>
  <si>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</si>
  <si>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</si>
  <si>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</si>
  <si>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</si>
  <si>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</si>
  <si>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</si>
  <si>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</si>
  <si>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</si>
  <si>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</si>
  <si>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</si>
  <si>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</si>
  <si>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</si>
  <si>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</si>
  <si>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</si>
  <si>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</si>
  <si>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</si>
  <si>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</si>
  <si>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</si>
  <si>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</si>
  <si>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</si>
  <si>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</si>
  <si>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</si>
  <si>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</si>
  <si>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</si>
  <si>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</si>
  <si>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</si>
  <si>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</si>
  <si>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</si>
  <si>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</si>
  <si>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</si>
  <si>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</si>
  <si>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</si>
  <si>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</si>
  <si>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</si>
  <si>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</si>
  <si>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</si>
  <si>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</si>
  <si>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</si>
  <si>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</si>
  <si>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</si>
  <si>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</si>
  <si>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</si>
  <si>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</si>
  <si>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</si>
  <si>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</si>
  <si>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</si>
  <si>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</si>
  <si>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</si>
  <si>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</si>
  <si>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</si>
  <si>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</si>
  <si>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</si>
  <si>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</si>
  <si>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</si>
  <si>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</si>
  <si>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</si>
  <si>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</si>
  <si>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</si>
  <si>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May 2020 Publication</t>
  </si>
  <si>
    <t>SP Cashflow View</t>
  </si>
  <si>
    <t>2019/20 performance impacts 2021/22 allowed revenue</t>
  </si>
  <si>
    <t>h</t>
  </si>
  <si>
    <t>[Insert adjustment as necessary]</t>
  </si>
  <si>
    <t>[Insert new rows here as necessary]</t>
  </si>
  <si>
    <t>[Insert detail of fine or penalty]</t>
  </si>
  <si>
    <t>TIRG</t>
  </si>
  <si>
    <t>[Input description]</t>
  </si>
  <si>
    <t>[Input description, add additional rows as required]</t>
  </si>
  <si>
    <t>Excluded Services</t>
  </si>
  <si>
    <t>Transfers of assets from customers</t>
  </si>
  <si>
    <t>Roundings</t>
  </si>
  <si>
    <t>2019/20 Stakeholder Engagement Reward has not been determined to date. Expected late 2020.</t>
  </si>
  <si>
    <t>Published Stakeholder Satisfaction Ouput has been deflated to 09/10 prices</t>
  </si>
  <si>
    <t>Published Environmental Discretionary Rewards have been deflated to 09/10 prices</t>
  </si>
  <si>
    <t>Penalty only mechanism, converted to 09/10 prices</t>
  </si>
  <si>
    <t>Total property, plant and equipment in use</t>
  </si>
  <si>
    <t>Adjust ongoing pension costs for IAS 19 present value accrual</t>
  </si>
  <si>
    <t>Other Operating Income</t>
  </si>
  <si>
    <t xml:space="preserve">Capital Contributions for NIC </t>
  </si>
  <si>
    <t>TIRG related expenditure</t>
  </si>
  <si>
    <t>SPPS Depreciation of non-system assets</t>
  </si>
  <si>
    <t>Non Trading Rechargable Costs</t>
  </si>
  <si>
    <t>Non-System Capex</t>
  </si>
  <si>
    <t>Pensions Deficit Repair Payments</t>
  </si>
  <si>
    <t>Right of Use Assets</t>
  </si>
  <si>
    <t>Non Controllable Opex (Rates/Established Pension Deficit/Excluded, Consented and De Minimis Services/Pension Scheme Levy/Bad Debts)</t>
  </si>
  <si>
    <t>Innovation (NIC/NIA) Expenditure less IRM Expenditure (Reported as Price Control Totex)</t>
  </si>
  <si>
    <t>Opex Related Party Margin</t>
  </si>
  <si>
    <t>Capex Related Party Margin</t>
  </si>
  <si>
    <t>Western HVDC (profiling)</t>
  </si>
  <si>
    <t>Onshore &amp; offshore</t>
  </si>
  <si>
    <t xml:space="preserve">Baseline WiderWorks - Other </t>
  </si>
  <si>
    <t>Generation Connections (Infrastructure)</t>
  </si>
  <si>
    <t>Connections - Excluded Services</t>
  </si>
  <si>
    <t>Separated from 'Other Load'</t>
  </si>
  <si>
    <t>Other Load</t>
  </si>
  <si>
    <t>Asset Replacement</t>
  </si>
  <si>
    <t>Other Non-Load and Non-Op Capex</t>
  </si>
  <si>
    <t>Controllable Opex</t>
  </si>
  <si>
    <t>Capitalised interest added back</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</si>
  <si>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</si>
  <si>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</si>
  <si>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</si>
  <si>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</si>
  <si>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</si>
  <si>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</si>
  <si>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</si>
  <si>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</si>
  <si>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Other Adjustments [please specify]</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</si>
  <si>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</si>
  <si>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</si>
  <si>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</si>
  <si>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</si>
  <si>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</si>
  <si>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</si>
  <si>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</si>
  <si>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</si>
  <si>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</si>
  <si>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</si>
  <si>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</si>
  <si>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</si>
  <si>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Adjustment to taxable profit from 31 December year end to 31 March year end</t>
  </si>
  <si>
    <t>Corporation tax rate change adjustment</t>
  </si>
  <si>
    <t>Tax paid on items without allowance</t>
  </si>
  <si>
    <t>15/16</t>
  </si>
  <si>
    <t>Actual</t>
  </si>
  <si>
    <t>Forecast</t>
  </si>
  <si>
    <t>Actuals</t>
  </si>
  <si>
    <t>Selected Capitalisation rates for SPT</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</si>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</sst>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43" formatCode="_-* #,##0.00_-;\-* #,##0.00_-;_-* &quot;-&quot;??_-;_-@_-"/>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000%"/>
    <numFmt numFmtId="350" formatCode="_(* #,##0.000_);_(* \(#,##0.000\);_(* &quot;-&quot;??_);_(@_)"/>
    <numFmt numFmtId="351" formatCode="0.0000"/>
    <numFmt numFmtId="352" formatCode="[$-F800]dddd\,\ mmmm\ dd\,\ yyyy"/>
    <numFmt numFmtId="353" formatCode="0.0;\-0.0;\-;@"/>
  </numFmts>
  <fonts count="262">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2">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3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style="thin">
        <color auto="1"/>
      </right>
      <top style="thin">
        <color indexed="64"/>
      </top>
      <bottom/>
      <diagonal/>
    </border>
    <border>
      <left style="thin">
        <color indexed="64"/>
      </left>
      <right style="thin">
        <color theme="0" tint="-0.499984740745262"/>
      </right>
      <top style="thin">
        <color indexed="64"/>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s>
  <cellStyleXfs count="51685">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167" fontId="2" fillId="43" borderId="30">
      <alignment vertical="center"/>
    </xf>
    <xf numFmtId="167" fontId="2" fillId="3" borderId="30">
      <alignment vertical="center"/>
      <protection locked="0"/>
    </xf>
    <xf numFmtId="0" fontId="7" fillId="0" borderId="0"/>
    <xf numFmtId="0" fontId="23" fillId="0" borderId="0"/>
    <xf numFmtId="168" fontId="246"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2" fontId="4" fillId="0" borderId="0"/>
    <xf numFmtId="352" fontId="4" fillId="0" borderId="0"/>
    <xf numFmtId="352" fontId="7"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7" fillId="0" borderId="0"/>
    <xf numFmtId="352" fontId="4" fillId="0" borderId="0"/>
    <xf numFmtId="352" fontId="7" fillId="0" borderId="0"/>
    <xf numFmtId="352" fontId="4" fillId="0" borderId="0"/>
    <xf numFmtId="352" fontId="7"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 fillId="0" borderId="0" applyFont="0" applyFill="0" applyBorder="0" applyAlignment="0" applyProtection="0"/>
    <xf numFmtId="352" fontId="43" fillId="0" borderId="0"/>
    <xf numFmtId="352" fontId="4" fillId="0" borderId="0" applyFont="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alignment vertical="center"/>
    </xf>
    <xf numFmtId="352" fontId="7" fillId="0" borderId="0"/>
    <xf numFmtId="352" fontId="7" fillId="0" borderId="0"/>
    <xf numFmtId="352" fontId="7" fillId="0" borderId="0"/>
    <xf numFmtId="352" fontId="7" fillId="0" borderId="0"/>
    <xf numFmtId="352" fontId="4" fillId="0" borderId="0">
      <alignment vertical="center"/>
    </xf>
    <xf numFmtId="352" fontId="4" fillId="0" borderId="0">
      <alignment vertical="center"/>
    </xf>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7" fillId="0" borderId="0"/>
    <xf numFmtId="352" fontId="7" fillId="0" borderId="0"/>
    <xf numFmtId="352" fontId="4" fillId="0" borderId="0"/>
    <xf numFmtId="352" fontId="4" fillId="0" borderId="0"/>
    <xf numFmtId="352" fontId="4" fillId="0" borderId="0"/>
    <xf numFmtId="352" fontId="4" fillId="0" borderId="0"/>
    <xf numFmtId="352" fontId="4" fillId="0" borderId="0"/>
    <xf numFmtId="352" fontId="7" fillId="0" borderId="0">
      <alignment vertical="justify"/>
    </xf>
    <xf numFmtId="352" fontId="13" fillId="30" borderId="0" applyNumberFormat="0" applyBorder="0" applyAlignment="0" applyProtection="0"/>
    <xf numFmtId="352" fontId="13" fillId="30"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7" borderId="0" applyNumberFormat="0" applyBorder="0" applyAlignment="0" applyProtection="0"/>
    <xf numFmtId="352" fontId="13" fillId="27" borderId="0" applyNumberFormat="0" applyBorder="0" applyAlignment="0" applyProtection="0"/>
    <xf numFmtId="352" fontId="13" fillId="119" borderId="0" applyNumberFormat="0" applyBorder="0" applyAlignment="0" applyProtection="0"/>
    <xf numFmtId="352" fontId="13" fillId="119" borderId="0" applyNumberFormat="0" applyBorder="0" applyAlignment="0" applyProtection="0"/>
    <xf numFmtId="352" fontId="13" fillId="30" borderId="0" applyNumberFormat="0" applyBorder="0" applyAlignment="0" applyProtection="0"/>
    <xf numFmtId="352" fontId="13" fillId="30"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13" fillId="61" borderId="0" applyNumberFormat="0" applyBorder="0" applyAlignment="0" applyProtection="0"/>
    <xf numFmtId="352" fontId="13" fillId="61" borderId="0" applyNumberFormat="0" applyBorder="0" applyAlignment="0" applyProtection="0"/>
    <xf numFmtId="352" fontId="13" fillId="19" borderId="0" applyNumberFormat="0" applyBorder="0" applyAlignment="0" applyProtection="0"/>
    <xf numFmtId="352" fontId="13" fillId="19" borderId="0" applyNumberFormat="0" applyBorder="0" applyAlignment="0" applyProtection="0"/>
    <xf numFmtId="352" fontId="13" fillId="26" borderId="0" applyNumberFormat="0" applyBorder="0" applyAlignment="0" applyProtection="0"/>
    <xf numFmtId="352" fontId="13" fillId="26" borderId="0" applyNumberFormat="0" applyBorder="0" applyAlignment="0" applyProtection="0"/>
    <xf numFmtId="352" fontId="13" fillId="120" borderId="0" applyNumberFormat="0" applyBorder="0" applyAlignment="0" applyProtection="0"/>
    <xf numFmtId="352" fontId="13" fillId="120" borderId="0" applyNumberFormat="0" applyBorder="0" applyAlignment="0" applyProtection="0"/>
    <xf numFmtId="352" fontId="13" fillId="31" borderId="0" applyNumberFormat="0" applyBorder="0" applyAlignment="0" applyProtection="0"/>
    <xf numFmtId="352" fontId="13" fillId="31" borderId="0" applyNumberFormat="0" applyBorder="0" applyAlignment="0" applyProtection="0"/>
    <xf numFmtId="352" fontId="13" fillId="60" borderId="0" applyNumberFormat="0" applyBorder="0" applyAlignment="0" applyProtection="0"/>
    <xf numFmtId="352" fontId="13" fillId="6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19" borderId="0" applyNumberFormat="0" applyBorder="0" applyAlignment="0" applyProtection="0"/>
    <xf numFmtId="352" fontId="56" fillId="19" borderId="0" applyNumberFormat="0" applyBorder="0" applyAlignment="0" applyProtection="0"/>
    <xf numFmtId="352" fontId="56" fillId="26" borderId="0" applyNumberFormat="0" applyBorder="0" applyAlignment="0" applyProtection="0"/>
    <xf numFmtId="352" fontId="56" fillId="26" borderId="0" applyNumberFormat="0" applyBorder="0" applyAlignment="0" applyProtection="0"/>
    <xf numFmtId="352" fontId="56" fillId="120" borderId="0" applyNumberFormat="0" applyBorder="0" applyAlignment="0" applyProtection="0"/>
    <xf numFmtId="352" fontId="56" fillId="120" borderId="0" applyNumberFormat="0" applyBorder="0" applyAlignment="0" applyProtection="0"/>
    <xf numFmtId="352" fontId="56" fillId="121" borderId="0" applyNumberFormat="0" applyBorder="0" applyAlignment="0" applyProtection="0"/>
    <xf numFmtId="352" fontId="56" fillId="121" borderId="0" applyNumberFormat="0" applyBorder="0" applyAlignment="0" applyProtection="0"/>
    <xf numFmtId="352" fontId="56" fillId="23" borderId="0" applyNumberFormat="0" applyBorder="0" applyAlignment="0" applyProtection="0"/>
    <xf numFmtId="352" fontId="56" fillId="23" borderId="0" applyNumberFormat="0" applyBorder="0" applyAlignment="0" applyProtection="0"/>
    <xf numFmtId="352" fontId="8" fillId="65" borderId="0" applyNumberFormat="0" applyBorder="0" applyAlignment="0" applyProtection="0"/>
    <xf numFmtId="352" fontId="8" fillId="12" borderId="0" applyNumberFormat="0" applyBorder="0" applyAlignment="0" applyProtection="0"/>
    <xf numFmtId="352" fontId="9" fillId="122" borderId="0" applyNumberFormat="0" applyBorder="0" applyAlignment="0" applyProtection="0"/>
    <xf numFmtId="352" fontId="9" fillId="66" borderId="0" applyNumberFormat="0" applyBorder="0" applyAlignment="0" applyProtection="0"/>
    <xf numFmtId="352" fontId="9" fillId="66" borderId="0" applyNumberFormat="0" applyBorder="0" applyAlignment="0" applyProtection="0"/>
    <xf numFmtId="352" fontId="8" fillId="68" borderId="0" applyNumberFormat="0" applyBorder="0" applyAlignment="0" applyProtection="0"/>
    <xf numFmtId="352" fontId="8" fillId="11" borderId="0" applyNumberFormat="0" applyBorder="0" applyAlignment="0" applyProtection="0"/>
    <xf numFmtId="352" fontId="9" fillId="8" borderId="0" applyNumberFormat="0" applyBorder="0" applyAlignment="0" applyProtection="0"/>
    <xf numFmtId="352" fontId="9" fillId="69" borderId="0" applyNumberFormat="0" applyBorder="0" applyAlignment="0" applyProtection="0"/>
    <xf numFmtId="352" fontId="9" fillId="69" borderId="0" applyNumberFormat="0" applyBorder="0" applyAlignment="0" applyProtection="0"/>
    <xf numFmtId="352" fontId="8" fillId="70" borderId="0" applyNumberFormat="0" applyBorder="0" applyAlignment="0" applyProtection="0"/>
    <xf numFmtId="352" fontId="8" fillId="71" borderId="0" applyNumberFormat="0" applyBorder="0" applyAlignment="0" applyProtection="0"/>
    <xf numFmtId="352" fontId="9" fillId="123" borderId="0" applyNumberFormat="0" applyBorder="0" applyAlignment="0" applyProtection="0"/>
    <xf numFmtId="352" fontId="9" fillId="124" borderId="0" applyNumberFormat="0" applyBorder="0" applyAlignment="0" applyProtection="0"/>
    <xf numFmtId="352" fontId="9" fillId="124" borderId="0" applyNumberFormat="0" applyBorder="0" applyAlignment="0" applyProtection="0"/>
    <xf numFmtId="352" fontId="8" fillId="68" borderId="0" applyNumberFormat="0" applyBorder="0" applyAlignment="0" applyProtection="0"/>
    <xf numFmtId="352" fontId="8" fillId="9" borderId="0" applyNumberFormat="0" applyBorder="0" applyAlignment="0" applyProtection="0"/>
    <xf numFmtId="352" fontId="9" fillId="11" borderId="0" applyNumberFormat="0" applyBorder="0" applyAlignment="0" applyProtection="0"/>
    <xf numFmtId="352" fontId="9" fillId="125" borderId="0" applyNumberFormat="0" applyBorder="0" applyAlignment="0" applyProtection="0"/>
    <xf numFmtId="352" fontId="9" fillId="125" borderId="0" applyNumberFormat="0" applyBorder="0" applyAlignment="0" applyProtection="0"/>
    <xf numFmtId="352" fontId="8" fillId="10" borderId="0" applyNumberFormat="0" applyBorder="0" applyAlignment="0" applyProtection="0"/>
    <xf numFmtId="352" fontId="8" fillId="5"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9" fillId="122" borderId="0" applyNumberFormat="0" applyBorder="0" applyAlignment="0" applyProtection="0"/>
    <xf numFmtId="352" fontId="8" fillId="13" borderId="0" applyNumberFormat="0" applyBorder="0" applyAlignment="0" applyProtection="0"/>
    <xf numFmtId="352" fontId="8" fillId="14" borderId="0" applyNumberFormat="0" applyBorder="0" applyAlignment="0" applyProtection="0"/>
    <xf numFmtId="352" fontId="9" fillId="126" borderId="0" applyNumberFormat="0" applyBorder="0" applyAlignment="0" applyProtection="0"/>
    <xf numFmtId="352" fontId="9" fillId="127" borderId="0" applyNumberFormat="0" applyBorder="0" applyAlignment="0" applyProtection="0"/>
    <xf numFmtId="352" fontId="9" fillId="127" borderId="0" applyNumberFormat="0" applyBorder="0" applyAlignment="0" applyProtection="0"/>
    <xf numFmtId="352" fontId="247" fillId="13" borderId="0" applyNumberFormat="0" applyBorder="0" applyAlignment="0" applyProtection="0"/>
    <xf numFmtId="352" fontId="247" fillId="13" borderId="0" applyNumberFormat="0" applyBorder="0" applyAlignment="0" applyProtection="0"/>
    <xf numFmtId="352" fontId="248" fillId="128" borderId="123" applyNumberFormat="0" applyAlignment="0" applyProtection="0"/>
    <xf numFmtId="352" fontId="248" fillId="128" borderId="123" applyNumberFormat="0" applyAlignment="0" applyProtection="0"/>
    <xf numFmtId="352" fontId="85" fillId="125" borderId="19" applyNumberFormat="0" applyAlignment="0" applyProtection="0"/>
    <xf numFmtId="352" fontId="85" fillId="125" borderId="19" applyNumberFormat="0" applyAlignment="0" applyProtection="0"/>
    <xf numFmtId="37" fontId="59" fillId="0" borderId="94">
      <alignment horizontal="center"/>
    </xf>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352"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10" fillId="129" borderId="0" applyNumberFormat="0" applyBorder="0" applyAlignment="0" applyProtection="0"/>
    <xf numFmtId="352" fontId="10" fillId="130" borderId="0" applyNumberFormat="0" applyBorder="0" applyAlignment="0" applyProtection="0"/>
    <xf numFmtId="352" fontId="10" fillId="17" borderId="0" applyNumberFormat="0" applyBorder="0" applyAlignment="0" applyProtection="0"/>
    <xf numFmtId="352" fontId="44" fillId="0" borderId="0" applyFont="0" applyFill="0" applyBorder="0" applyAlignment="0" applyProtection="0"/>
    <xf numFmtId="352" fontId="249" fillId="0" borderId="0" applyNumberFormat="0" applyFill="0" applyBorder="0" applyAlignment="0" applyProtection="0"/>
    <xf numFmtId="352" fontId="249" fillId="0" borderId="0" applyNumberFormat="0" applyFill="0" applyBorder="0" applyAlignment="0" applyProtection="0"/>
    <xf numFmtId="352" fontId="8" fillId="71" borderId="0" applyNumberFormat="0" applyBorder="0" applyAlignment="0" applyProtection="0"/>
    <xf numFmtId="352" fontId="8" fillId="71" borderId="0" applyNumberForma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4" fillId="61" borderId="0" applyNumberFormat="0" applyFont="0" applyBorder="0" applyAlignment="0" applyProtection="0"/>
    <xf numFmtId="352" fontId="117" fillId="0" borderId="33" applyNumberFormat="0" applyFill="0" applyAlignment="0" applyProtection="0"/>
    <xf numFmtId="352" fontId="117" fillId="0" borderId="33" applyNumberFormat="0" applyFill="0" applyAlignment="0" applyProtection="0"/>
    <xf numFmtId="352" fontId="120" fillId="0" borderId="124" applyNumberFormat="0" applyFill="0" applyAlignment="0" applyProtection="0"/>
    <xf numFmtId="352" fontId="120" fillId="0" borderId="124" applyNumberFormat="0" applyFill="0" applyAlignment="0" applyProtection="0"/>
    <xf numFmtId="352" fontId="123" fillId="0" borderId="125" applyNumberFormat="0" applyFill="0" applyAlignment="0" applyProtection="0"/>
    <xf numFmtId="352" fontId="123" fillId="0" borderId="125" applyNumberFormat="0" applyFill="0" applyAlignment="0" applyProtection="0"/>
    <xf numFmtId="352" fontId="123" fillId="0" borderId="0" applyNumberFormat="0" applyFill="0" applyBorder="0" applyAlignment="0" applyProtection="0"/>
    <xf numFmtId="352" fontId="123" fillId="0" borderId="0" applyNumberFormat="0" applyFill="0" applyBorder="0" applyAlignment="0" applyProtection="0"/>
    <xf numFmtId="352" fontId="137" fillId="14" borderId="123" applyNumberFormat="0" applyAlignment="0" applyProtection="0"/>
    <xf numFmtId="352" fontId="137" fillId="14" borderId="123" applyNumberFormat="0" applyAlignment="0" applyProtection="0"/>
    <xf numFmtId="352" fontId="140" fillId="34" borderId="0"/>
    <xf numFmtId="352" fontId="113" fillId="0" borderId="126" applyNumberFormat="0" applyFill="0" applyAlignment="0" applyProtection="0"/>
    <xf numFmtId="352" fontId="113" fillId="0" borderId="126" applyNumberFormat="0" applyFill="0" applyAlignment="0" applyProtection="0"/>
    <xf numFmtId="352" fontId="113" fillId="14" borderId="0" applyNumberFormat="0" applyBorder="0" applyAlignment="0" applyProtection="0"/>
    <xf numFmtId="352" fontId="113" fillId="14" borderId="0" applyNumberFormat="0" applyBorder="0" applyAlignment="0" applyProtection="0"/>
    <xf numFmtId="352" fontId="19" fillId="0" borderId="0"/>
    <xf numFmtId="352" fontId="19" fillId="0" borderId="0"/>
    <xf numFmtId="352" fontId="19" fillId="0" borderId="0"/>
    <xf numFmtId="352" fontId="19" fillId="0" borderId="0"/>
    <xf numFmtId="352" fontId="19" fillId="0" borderId="0"/>
    <xf numFmtId="352" fontId="4" fillId="0" borderId="0"/>
    <xf numFmtId="352" fontId="4" fillId="0" borderId="0"/>
    <xf numFmtId="352" fontId="4" fillId="0" borderId="0"/>
    <xf numFmtId="352" fontId="4" fillId="0" borderId="0"/>
    <xf numFmtId="0" fontId="2"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xf numFmtId="352" fontId="8" fillId="0" borderId="0" applyFill="0" applyBorder="0" applyAlignment="0" applyProtection="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4" fillId="0" borderId="0"/>
    <xf numFmtId="352" fontId="4" fillId="0" borderId="0"/>
    <xf numFmtId="352" fontId="4" fillId="0" borderId="0"/>
    <xf numFmtId="352" fontId="4" fillId="0" borderId="0"/>
    <xf numFmtId="352" fontId="4" fillId="0" borderId="0"/>
    <xf numFmtId="352" fontId="4" fillId="0" borderId="0"/>
    <xf numFmtId="352" fontId="4" fillId="0" borderId="0"/>
    <xf numFmtId="352" fontId="2"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4" fillId="0" borderId="0"/>
    <xf numFmtId="352" fontId="4" fillId="0" borderId="0"/>
    <xf numFmtId="352" fontId="23" fillId="0" borderId="0"/>
    <xf numFmtId="352" fontId="1" fillId="0" borderId="0"/>
    <xf numFmtId="352" fontId="4"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1" fillId="0" borderId="0"/>
    <xf numFmtId="352" fontId="4" fillId="0" borderId="0"/>
    <xf numFmtId="352" fontId="4" fillId="0" borderId="0"/>
    <xf numFmtId="352" fontId="4" fillId="0" borderId="0"/>
    <xf numFmtId="352" fontId="4"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1" fillId="0" borderId="0"/>
    <xf numFmtId="352" fontId="1" fillId="0" borderId="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1" fillId="0" borderId="0"/>
    <xf numFmtId="352" fontId="1"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4" fillId="0" borderId="0"/>
    <xf numFmtId="352" fontId="8" fillId="0" borderId="0" applyFill="0" applyBorder="0" applyAlignment="0" applyProtection="0"/>
    <xf numFmtId="352" fontId="19"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applyFill="0" applyBorder="0" applyAlignment="0" applyProtection="0"/>
    <xf numFmtId="352" fontId="8" fillId="0" borderId="0"/>
    <xf numFmtId="352" fontId="8" fillId="0" borderId="0"/>
    <xf numFmtId="352" fontId="8" fillId="0" borderId="0"/>
    <xf numFmtId="352" fontId="8" fillId="0" borderId="0"/>
    <xf numFmtId="352" fontId="8" fillId="0" borderId="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applyFill="0" applyBorder="0" applyAlignment="0" applyProtection="0"/>
    <xf numFmtId="352" fontId="8" fillId="0" borderId="0"/>
    <xf numFmtId="352" fontId="8" fillId="0" borderId="0"/>
    <xf numFmtId="352" fontId="7" fillId="0" borderId="0">
      <alignment vertical="top"/>
    </xf>
    <xf numFmtId="352" fontId="101" fillId="0" borderId="0" applyFill="0" applyBorder="0">
      <protection locked="0"/>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352"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2" fontId="192" fillId="0" borderId="0"/>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52" fontId="19" fillId="36" borderId="30">
      <alignment vertical="center"/>
      <protection locked="0"/>
    </xf>
    <xf numFmtId="330"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8" borderId="30">
      <alignment vertical="center"/>
    </xf>
    <xf numFmtId="352" fontId="19" fillId="39" borderId="30">
      <alignment horizontal="right" vertical="center"/>
      <protection locked="0"/>
    </xf>
    <xf numFmtId="352"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3" borderId="53" applyNumberFormat="0">
      <protection locked="0"/>
    </xf>
    <xf numFmtId="352" fontId="4" fillId="33" borderId="30"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88" fillId="31" borderId="130" applyBorder="0"/>
    <xf numFmtId="4" fontId="252" fillId="34" borderId="128" applyNumberFormat="0" applyProtection="0">
      <alignment vertical="center"/>
    </xf>
    <xf numFmtId="4" fontId="250" fillId="36" borderId="30"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52" fontId="48" fillId="109" borderId="30"/>
    <xf numFmtId="4" fontId="254" fillId="33" borderId="123" applyNumberFormat="0" applyProtection="0">
      <alignment horizontal="right" vertical="center"/>
    </xf>
    <xf numFmtId="352" fontId="18" fillId="0" borderId="0" applyNumberFormat="0" applyFill="0" applyBorder="0" applyAlignment="0" applyProtection="0"/>
    <xf numFmtId="352" fontId="4" fillId="0" borderId="0" applyFont="0" applyFill="0" applyBorder="0" applyAlignment="0" applyProtection="0"/>
    <xf numFmtId="37" fontId="59" fillId="0" borderId="131" applyNumberFormat="0"/>
    <xf numFmtId="352" fontId="220" fillId="0" borderId="58" applyNumberFormat="0" applyAlignment="0" applyProtection="0"/>
    <xf numFmtId="352" fontId="18" fillId="0" borderId="0" applyNumberFormat="0" applyFill="0" applyBorder="0" applyAlignment="0" applyProtection="0"/>
    <xf numFmtId="352" fontId="18" fillId="0" borderId="0" applyNumberFormat="0" applyFill="0" applyBorder="0" applyAlignment="0" applyProtection="0"/>
    <xf numFmtId="210" fontId="59" fillId="0" borderId="32" applyFill="0"/>
    <xf numFmtId="352" fontId="10" fillId="0" borderId="132" applyNumberFormat="0" applyFill="0" applyAlignment="0" applyProtection="0"/>
    <xf numFmtId="352" fontId="10" fillId="0" borderId="132" applyNumberFormat="0" applyFill="0" applyAlignment="0" applyProtection="0"/>
    <xf numFmtId="352" fontId="255" fillId="0" borderId="0" applyNumberFormat="0" applyFill="0" applyBorder="0" applyAlignment="0" applyProtection="0"/>
    <xf numFmtId="352" fontId="255" fillId="0" borderId="0" applyNumberFormat="0" applyFill="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352"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352"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210" fontId="59" fillId="0" borderId="32" applyFill="0"/>
    <xf numFmtId="352" fontId="23" fillId="0" borderId="0"/>
    <xf numFmtId="352" fontId="48" fillId="30" borderId="128" applyNumberFormat="0" applyProtection="0">
      <alignment horizontal="left" vertical="top"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248" fillId="128"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3" fillId="0" borderId="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5"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248" fillId="128" borderId="123" applyNumberFormat="0" applyAlignment="0" applyProtection="0"/>
    <xf numFmtId="4" fontId="48" fillId="23" borderId="123" applyNumberFormat="0" applyProtection="0">
      <alignment horizontal="right" vertical="center"/>
    </xf>
    <xf numFmtId="4" fontId="48" fillId="24" borderId="123" applyNumberFormat="0" applyProtection="0">
      <alignment horizontal="right" vertical="center"/>
    </xf>
    <xf numFmtId="352" fontId="48" fillId="83" borderId="123" applyNumberFormat="0" applyProtection="0">
      <alignment horizontal="left" vertical="center" indent="1"/>
    </xf>
    <xf numFmtId="210" fontId="59" fillId="0" borderId="32" applyFill="0"/>
    <xf numFmtId="4" fontId="48" fillId="26" borderId="123" applyNumberFormat="0" applyProtection="0">
      <alignment horizontal="right" vertical="center"/>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88" fillId="31" borderId="130" applyBorder="0"/>
    <xf numFmtId="4" fontId="252" fillId="34" borderId="128" applyNumberFormat="0" applyProtection="0">
      <alignment vertical="center"/>
    </xf>
    <xf numFmtId="4" fontId="252" fillId="61" borderId="128" applyNumberFormat="0" applyProtection="0">
      <alignment horizontal="left" vertical="center" indent="1"/>
    </xf>
    <xf numFmtId="352" fontId="252" fillId="34" borderId="128" applyNumberFormat="0" applyProtection="0">
      <alignment horizontal="left" vertical="top" indent="1"/>
    </xf>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23" fillId="0" borderId="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3" applyNumberFormat="0" applyProtection="0">
      <alignment horizontal="left" vertical="center" indent="1"/>
    </xf>
    <xf numFmtId="210" fontId="59" fillId="0" borderId="32" applyFill="0"/>
    <xf numFmtId="352" fontId="248" fillId="128" borderId="123" applyNumberFormat="0" applyAlignment="0" applyProtection="0"/>
    <xf numFmtId="352" fontId="248" fillId="128" borderId="123" applyNumberForma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164" fontId="2" fillId="0" borderId="0" applyFont="0" applyFill="0" applyBorder="0" applyAlignment="0" applyProtection="0"/>
    <xf numFmtId="352" fontId="48" fillId="30" borderId="128" applyNumberFormat="0" applyProtection="0">
      <alignment horizontal="left" vertical="top" indent="1"/>
    </xf>
    <xf numFmtId="164" fontId="1" fillId="0" borderId="0" applyFont="0" applyFill="0" applyBorder="0" applyAlignment="0" applyProtection="0"/>
    <xf numFmtId="352" fontId="88" fillId="31" borderId="130" applyBorder="0"/>
    <xf numFmtId="4" fontId="48" fillId="24" borderId="123" applyNumberFormat="0" applyProtection="0">
      <alignment horizontal="right" vertical="center"/>
    </xf>
    <xf numFmtId="352" fontId="48" fillId="13" borderId="123" applyNumberFormat="0" applyFont="0" applyAlignment="0" applyProtection="0"/>
    <xf numFmtId="4" fontId="48" fillId="19" borderId="129" applyNumberFormat="0" applyProtection="0">
      <alignment horizontal="left" vertical="center" indent="1"/>
    </xf>
    <xf numFmtId="4" fontId="48" fillId="25" borderId="123" applyNumberFormat="0" applyProtection="0">
      <alignment horizontal="right" vertical="center"/>
    </xf>
    <xf numFmtId="352" fontId="48" fillId="61" borderId="123" applyNumberFormat="0" applyProtection="0">
      <alignment horizontal="left" vertical="center" indent="1"/>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34" borderId="128" applyNumberFormat="0" applyProtection="0">
      <alignment vertical="center"/>
    </xf>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210" fontId="59" fillId="0" borderId="32" applyFill="0"/>
    <xf numFmtId="352" fontId="48" fillId="83" borderId="123" applyNumberFormat="0" applyProtection="0">
      <alignment horizontal="left" vertical="center" indent="1"/>
    </xf>
    <xf numFmtId="4" fontId="48" fillId="23" borderId="123" applyNumberFormat="0" applyProtection="0">
      <alignment horizontal="right" vertical="center"/>
    </xf>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164" fontId="8" fillId="0" borderId="0" applyFont="0" applyFill="0" applyBorder="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2" fontId="48" fillId="31" borderId="128"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4" fontId="48" fillId="26" borderId="123" applyNumberFormat="0" applyProtection="0">
      <alignment horizontal="right" vertical="center"/>
    </xf>
    <xf numFmtId="210" fontId="59" fillId="0" borderId="32" applyFill="0"/>
    <xf numFmtId="352" fontId="48" fillId="83" borderId="123" applyNumberFormat="0" applyProtection="0">
      <alignment horizontal="left" vertical="center" indent="1"/>
    </xf>
    <xf numFmtId="4" fontId="48" fillId="24" borderId="123" applyNumberFormat="0" applyProtection="0">
      <alignment horizontal="right" vertical="center"/>
    </xf>
    <xf numFmtId="4" fontId="48" fillId="23" borderId="123" applyNumberFormat="0" applyProtection="0">
      <alignment horizontal="right" vertical="center"/>
    </xf>
    <xf numFmtId="352" fontId="248" fillId="128" borderId="123" applyNumberFormat="0" applyAlignment="0" applyProtection="0"/>
    <xf numFmtId="352" fontId="248" fillId="128" borderId="123" applyNumberForma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48" fillId="61" borderId="123" applyNumberFormat="0" applyProtection="0">
      <alignment horizontal="left" vertical="center" indent="1"/>
    </xf>
    <xf numFmtId="4" fontId="48" fillId="19" borderId="123" applyNumberFormat="0" applyProtection="0">
      <alignment horizontal="right" vertical="center"/>
    </xf>
    <xf numFmtId="4" fontId="48" fillId="28" borderId="123" applyNumberFormat="0" applyProtection="0">
      <alignment horizontal="right" vertical="center"/>
    </xf>
    <xf numFmtId="4" fontId="48" fillId="27"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79" fillId="128" borderId="127" applyNumberFormat="0" applyAlignment="0" applyProtection="0"/>
    <xf numFmtId="352" fontId="179" fillId="128" borderId="127" applyNumberFormat="0" applyAlignment="0" applyProtection="0"/>
    <xf numFmtId="4" fontId="48" fillId="18" borderId="123" applyNumberFormat="0" applyProtection="0">
      <alignment vertical="center"/>
    </xf>
    <xf numFmtId="4" fontId="250" fillId="45" borderId="123" applyNumberFormat="0" applyProtection="0">
      <alignment vertical="center"/>
    </xf>
    <xf numFmtId="4" fontId="48" fillId="45" borderId="123" applyNumberFormat="0" applyProtection="0">
      <alignment horizontal="left" vertical="center" indent="1"/>
    </xf>
    <xf numFmtId="352" fontId="251" fillId="18" borderId="128" applyNumberFormat="0" applyProtection="0">
      <alignment horizontal="left" vertical="top" indent="1"/>
    </xf>
    <xf numFmtId="4" fontId="48" fillId="64" borderId="123" applyNumberFormat="0" applyProtection="0">
      <alignment horizontal="left" vertical="center" indent="1"/>
    </xf>
    <xf numFmtId="4" fontId="48" fillId="20" borderId="123" applyNumberFormat="0" applyProtection="0">
      <alignment horizontal="right" vertical="center"/>
    </xf>
    <xf numFmtId="4" fontId="48" fillId="131" borderId="123" applyNumberFormat="0" applyProtection="0">
      <alignment horizontal="right" vertical="center"/>
    </xf>
    <xf numFmtId="4" fontId="48" fillId="22" borderId="129" applyNumberFormat="0" applyProtection="0">
      <alignment horizontal="right" vertical="center"/>
    </xf>
    <xf numFmtId="4" fontId="48" fillId="23" borderId="123" applyNumberFormat="0" applyProtection="0">
      <alignment horizontal="right" vertical="center"/>
    </xf>
    <xf numFmtId="4" fontId="48" fillId="24" borderId="123" applyNumberFormat="0" applyProtection="0">
      <alignment horizontal="right" vertical="center"/>
    </xf>
    <xf numFmtId="4" fontId="48" fillId="25" borderId="123" applyNumberFormat="0" applyProtection="0">
      <alignment horizontal="right" vertical="center"/>
    </xf>
    <xf numFmtId="4" fontId="48" fillId="26" borderId="123" applyNumberFormat="0" applyProtection="0">
      <alignment horizontal="right" vertical="center"/>
    </xf>
    <xf numFmtId="4" fontId="48" fillId="27" borderId="123" applyNumberFormat="0" applyProtection="0">
      <alignment horizontal="right" vertical="center"/>
    </xf>
    <xf numFmtId="4" fontId="48" fillId="28" borderId="123" applyNumberFormat="0" applyProtection="0">
      <alignment horizontal="right" vertical="center"/>
    </xf>
    <xf numFmtId="4" fontId="48" fillId="29" borderId="129" applyNumberFormat="0" applyProtection="0">
      <alignment horizontal="left" vertical="center" indent="1"/>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19" borderId="123" applyNumberFormat="0" applyProtection="0">
      <alignment horizontal="right" vertical="center"/>
    </xf>
    <xf numFmtId="4" fontId="48" fillId="30" borderId="129" applyNumberFormat="0" applyProtection="0">
      <alignment horizontal="left" vertical="center" indent="1"/>
    </xf>
    <xf numFmtId="4" fontId="48" fillId="19" borderId="129" applyNumberFormat="0" applyProtection="0">
      <alignment horizontal="left" vertical="center" indent="1"/>
    </xf>
    <xf numFmtId="352" fontId="48" fillId="61" borderId="123"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61" borderId="128" applyNumberFormat="0" applyProtection="0">
      <alignment horizontal="left" vertical="center" indent="1"/>
    </xf>
    <xf numFmtId="210" fontId="59" fillId="0" borderId="32" applyFill="0"/>
    <xf numFmtId="352" fontId="48" fillId="30" borderId="128" applyNumberFormat="0" applyProtection="0">
      <alignment horizontal="left" vertical="top" indent="1"/>
    </xf>
    <xf numFmtId="352" fontId="252"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7" borderId="123" applyNumberFormat="0" applyProtection="0">
      <alignment horizontal="right" vertical="center"/>
    </xf>
    <xf numFmtId="352" fontId="48" fillId="19" borderId="128" applyNumberFormat="0" applyProtection="0">
      <alignment horizontal="left" vertical="top" indent="1"/>
    </xf>
    <xf numFmtId="164" fontId="7" fillId="0" borderId="0" applyFont="0" applyFill="0" applyBorder="0" applyAlignment="0" applyProtection="0"/>
    <xf numFmtId="352" fontId="48" fillId="19"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48" fillId="32" borderId="128" applyNumberFormat="0" applyProtection="0">
      <alignment horizontal="left" vertical="top" indent="1"/>
    </xf>
    <xf numFmtId="352" fontId="10" fillId="0" borderId="132" applyNumberFormat="0" applyFill="0" applyAlignment="0" applyProtection="0"/>
    <xf numFmtId="352" fontId="10" fillId="0" borderId="132" applyNumberFormat="0" applyFill="0" applyAlignment="0" applyProtection="0"/>
    <xf numFmtId="4" fontId="48" fillId="28" borderId="123" applyNumberFormat="0" applyProtection="0">
      <alignment horizontal="right" vertical="center"/>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251" fillId="18" borderId="128" applyNumberFormat="0" applyProtection="0">
      <alignment horizontal="left" vertical="top" indent="1"/>
    </xf>
    <xf numFmtId="352" fontId="48" fillId="13" borderId="123" applyNumberFormat="0" applyFont="0" applyAlignment="0" applyProtection="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88" fillId="31" borderId="130" applyBorder="0"/>
    <xf numFmtId="4" fontId="48" fillId="25"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0" borderId="123"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4" fontId="48" fillId="27" borderId="123" applyNumberFormat="0" applyProtection="0">
      <alignment horizontal="right" vertical="center"/>
    </xf>
    <xf numFmtId="4" fontId="48" fillId="25" borderId="123" applyNumberFormat="0" applyProtection="0">
      <alignment horizontal="right" vertical="center"/>
    </xf>
    <xf numFmtId="352" fontId="179" fillId="128" borderId="127" applyNumberFormat="0" applyAlignment="0" applyProtection="0"/>
    <xf numFmtId="352" fontId="48" fillId="61" borderId="123" applyNumberFormat="0" applyProtection="0">
      <alignment horizontal="left" vertical="center" indent="1"/>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18" borderId="123" applyNumberFormat="0" applyProtection="0">
      <alignment vertical="center"/>
    </xf>
    <xf numFmtId="4" fontId="48" fillId="24" borderId="123" applyNumberFormat="0" applyProtection="0">
      <alignment horizontal="right" vertical="center"/>
    </xf>
    <xf numFmtId="4" fontId="250" fillId="45" borderId="123" applyNumberFormat="0" applyProtection="0">
      <alignment vertical="center"/>
    </xf>
    <xf numFmtId="164" fontId="7" fillId="0" borderId="0" applyFont="0" applyFill="0" applyBorder="0" applyAlignment="0" applyProtection="0"/>
    <xf numFmtId="352" fontId="137" fillId="14" borderId="123" applyNumberFormat="0" applyAlignment="0" applyProtection="0"/>
    <xf numFmtId="352" fontId="48" fillId="61"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4" fontId="250" fillId="45" borderId="123" applyNumberFormat="0" applyProtection="0">
      <alignment vertical="center"/>
    </xf>
    <xf numFmtId="164" fontId="7" fillId="0" borderId="0" applyFont="0" applyFill="0" applyBorder="0" applyAlignment="0" applyProtection="0"/>
    <xf numFmtId="4" fontId="48" fillId="19" borderId="123" applyNumberFormat="0" applyProtection="0">
      <alignment horizontal="right" vertical="center"/>
    </xf>
    <xf numFmtId="4" fontId="48" fillId="18" borderId="123" applyNumberFormat="0" applyProtection="0">
      <alignment vertical="center"/>
    </xf>
    <xf numFmtId="4" fontId="48" fillId="18" borderId="123" applyNumberFormat="0" applyProtection="0">
      <alignment vertical="center"/>
    </xf>
    <xf numFmtId="4" fontId="48" fillId="19" borderId="123" applyNumberFormat="0" applyProtection="0">
      <alignment horizontal="right" vertical="center"/>
    </xf>
    <xf numFmtId="4" fontId="48" fillId="23"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352" fontId="48" fillId="32" borderId="123" applyNumberFormat="0" applyProtection="0">
      <alignment horizontal="left" vertical="center" indent="1"/>
    </xf>
    <xf numFmtId="352" fontId="48" fillId="13" borderId="123" applyNumberFormat="0" applyFont="0" applyAlignment="0" applyProtection="0"/>
    <xf numFmtId="352" fontId="88" fillId="31" borderId="130" applyBorder="0"/>
    <xf numFmtId="352" fontId="10" fillId="0" borderId="132" applyNumberFormat="0" applyFill="0" applyAlignment="0" applyProtection="0"/>
    <xf numFmtId="164" fontId="7" fillId="0" borderId="0" applyFont="0" applyFill="0" applyBorder="0" applyAlignment="0" applyProtection="0"/>
    <xf numFmtId="352" fontId="248" fillId="128" borderId="123" applyNumberFormat="0" applyAlignment="0" applyProtection="0"/>
    <xf numFmtId="4" fontId="48" fillId="24" borderId="123" applyNumberFormat="0" applyProtection="0">
      <alignment horizontal="right" vertical="center"/>
    </xf>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252" fillId="19"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4" fontId="250" fillId="45" borderId="123" applyNumberFormat="0" applyProtection="0">
      <alignment vertical="center"/>
    </xf>
    <xf numFmtId="352" fontId="48" fillId="83" borderId="123" applyNumberFormat="0" applyProtection="0">
      <alignment horizontal="left" vertical="center" indent="1"/>
    </xf>
    <xf numFmtId="37" fontId="59" fillId="0" borderId="131" applyNumberFormat="0"/>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131" borderId="123" applyNumberFormat="0" applyProtection="0">
      <alignment horizontal="right" vertical="center"/>
    </xf>
    <xf numFmtId="4" fontId="48" fillId="64" borderId="123" applyNumberFormat="0" applyProtection="0">
      <alignment horizontal="left" vertical="center" indent="1"/>
    </xf>
    <xf numFmtId="4" fontId="250" fillId="45" borderId="123" applyNumberFormat="0" applyProtection="0">
      <alignment vertical="center"/>
    </xf>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0" borderId="128" applyNumberFormat="0" applyProtection="0">
      <alignment horizontal="left" vertical="top" indent="1"/>
    </xf>
    <xf numFmtId="164" fontId="7" fillId="0" borderId="0" applyFont="0" applyFill="0" applyBorder="0" applyAlignment="0" applyProtection="0"/>
    <xf numFmtId="4" fontId="48" fillId="64" borderId="123" applyNumberFormat="0" applyProtection="0">
      <alignment horizontal="left" vertical="center" indent="1"/>
    </xf>
    <xf numFmtId="4" fontId="252" fillId="61" borderId="128" applyNumberFormat="0" applyProtection="0">
      <alignment horizontal="left" vertical="center" indent="1"/>
    </xf>
    <xf numFmtId="4" fontId="48" fillId="26" borderId="123" applyNumberFormat="0" applyProtection="0">
      <alignment horizontal="right" vertical="center"/>
    </xf>
    <xf numFmtId="4" fontId="48" fillId="24" borderId="123" applyNumberFormat="0" applyProtection="0">
      <alignment horizontal="right" vertical="center"/>
    </xf>
    <xf numFmtId="352" fontId="248" fillId="128" borderId="123"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2" fontId="48" fillId="30" borderId="128" applyNumberFormat="0" applyProtection="0">
      <alignment horizontal="left" vertical="top" indent="1"/>
    </xf>
    <xf numFmtId="4" fontId="250" fillId="45" borderId="123" applyNumberFormat="0" applyProtection="0">
      <alignment vertical="center"/>
    </xf>
    <xf numFmtId="4" fontId="48" fillId="20" borderId="123" applyNumberFormat="0" applyProtection="0">
      <alignment horizontal="right" vertical="center"/>
    </xf>
    <xf numFmtId="352" fontId="48" fillId="61" borderId="123" applyNumberFormat="0" applyProtection="0">
      <alignment horizontal="left" vertical="center" indent="1"/>
    </xf>
    <xf numFmtId="4" fontId="48" fillId="28" borderId="123" applyNumberFormat="0" applyProtection="0">
      <alignment horizontal="right" vertical="center"/>
    </xf>
    <xf numFmtId="4" fontId="48" fillId="25" borderId="123" applyNumberFormat="0" applyProtection="0">
      <alignment horizontal="right" vertical="center"/>
    </xf>
    <xf numFmtId="4" fontId="48" fillId="131" borderId="123" applyNumberFormat="0" applyProtection="0">
      <alignment horizontal="right" vertical="center"/>
    </xf>
    <xf numFmtId="4" fontId="48" fillId="27" borderId="123" applyNumberFormat="0" applyProtection="0">
      <alignment horizontal="right" vertical="center"/>
    </xf>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3" applyNumberFormat="0" applyProtection="0">
      <alignment horizontal="left" vertical="center"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179" fillId="128" borderId="127" applyNumberFormat="0" applyAlignment="0" applyProtection="0"/>
    <xf numFmtId="4" fontId="48" fillId="19" borderId="123" applyNumberFormat="0" applyProtection="0">
      <alignment horizontal="right" vertical="center"/>
    </xf>
    <xf numFmtId="164" fontId="2" fillId="0" borderId="0" applyFont="0" applyFill="0" applyBorder="0" applyAlignment="0" applyProtection="0"/>
    <xf numFmtId="4" fontId="48" fillId="23" borderId="123" applyNumberFormat="0" applyProtection="0">
      <alignment horizontal="right" vertical="center"/>
    </xf>
    <xf numFmtId="352" fontId="4" fillId="19" borderId="128" applyNumberFormat="0" applyProtection="0">
      <alignment horizontal="left" vertical="top" indent="1"/>
    </xf>
    <xf numFmtId="352" fontId="137" fillId="14" borderId="123" applyNumberFormat="0" applyAlignment="0" applyProtection="0"/>
    <xf numFmtId="352" fontId="10" fillId="0" borderId="132" applyNumberFormat="0" applyFill="0" applyAlignment="0" applyProtection="0"/>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45" borderId="123" applyNumberFormat="0" applyProtection="0">
      <alignment horizontal="left" vertical="center"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179" fillId="128" borderId="127" applyNumberFormat="0" applyAlignment="0" applyProtection="0"/>
    <xf numFmtId="4" fontId="252" fillId="34" borderId="128" applyNumberFormat="0" applyProtection="0">
      <alignment vertical="center"/>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48" fillId="0"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352" fontId="48" fillId="30" borderId="123" applyNumberFormat="0" applyProtection="0">
      <alignment horizontal="left" vertical="center" indent="1"/>
    </xf>
    <xf numFmtId="4" fontId="48" fillId="20" borderId="123" applyNumberFormat="0" applyProtection="0">
      <alignment horizontal="right" vertical="center"/>
    </xf>
    <xf numFmtId="4" fontId="48" fillId="0" borderId="123" applyNumberFormat="0" applyProtection="0">
      <alignment horizontal="right" vertical="center"/>
    </xf>
    <xf numFmtId="210" fontId="59" fillId="0" borderId="32" applyFill="0"/>
    <xf numFmtId="352" fontId="48" fillId="13" borderId="123" applyNumberFormat="0" applyFont="0" applyAlignment="0" applyProtection="0"/>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3" borderId="123" applyNumberFormat="0" applyFont="0" applyAlignment="0" applyProtection="0"/>
    <xf numFmtId="4" fontId="48" fillId="24" borderId="123" applyNumberFormat="0" applyProtection="0">
      <alignment horizontal="right" vertical="center"/>
    </xf>
    <xf numFmtId="352" fontId="48" fillId="32" borderId="128" applyNumberFormat="0" applyProtection="0">
      <alignment horizontal="left" vertical="top"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248" fillId="128" borderId="123" applyNumberFormat="0" applyAlignment="0" applyProtection="0"/>
    <xf numFmtId="4" fontId="252" fillId="61" borderId="128" applyNumberFormat="0" applyProtection="0">
      <alignment horizontal="left" vertical="center" indent="1"/>
    </xf>
    <xf numFmtId="352" fontId="10" fillId="0" borderId="132" applyNumberFormat="0" applyFill="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4" fontId="48" fillId="64" borderId="123" applyNumberFormat="0" applyProtection="0">
      <alignment horizontal="left" vertical="center" indent="1"/>
    </xf>
    <xf numFmtId="352" fontId="248" fillId="128" borderId="123" applyNumberFormat="0" applyAlignment="0" applyProtection="0"/>
    <xf numFmtId="4" fontId="254" fillId="33" borderId="123" applyNumberFormat="0" applyProtection="0">
      <alignment horizontal="right" vertical="center"/>
    </xf>
    <xf numFmtId="352" fontId="88" fillId="31" borderId="130" applyBorder="0"/>
    <xf numFmtId="352" fontId="48" fillId="13" borderId="123" applyNumberFormat="0" applyFont="0" applyAlignment="0" applyProtection="0"/>
    <xf numFmtId="4" fontId="48" fillId="64" borderId="123" applyNumberFormat="0" applyProtection="0">
      <alignment horizontal="left" vertical="center"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13" borderId="123" applyNumberFormat="0" applyFont="0" applyAlignment="0" applyProtection="0"/>
    <xf numFmtId="352" fontId="179" fillId="128" borderId="127" applyNumberFormat="0" applyAlignment="0" applyProtection="0"/>
    <xf numFmtId="4" fontId="48" fillId="20" borderId="123" applyNumberFormat="0" applyProtection="0">
      <alignment horizontal="right" vertical="center"/>
    </xf>
    <xf numFmtId="352" fontId="48" fillId="31" borderId="128" applyNumberFormat="0" applyProtection="0">
      <alignment horizontal="left" vertical="top" indent="1"/>
    </xf>
    <xf numFmtId="352" fontId="88" fillId="31" borderId="130" applyBorder="0"/>
    <xf numFmtId="4" fontId="48" fillId="28" borderId="123" applyNumberFormat="0" applyProtection="0">
      <alignment horizontal="right" vertical="center"/>
    </xf>
    <xf numFmtId="352" fontId="48" fillId="31" borderId="128" applyNumberFormat="0" applyProtection="0">
      <alignment horizontal="left" vertical="top" indent="1"/>
    </xf>
    <xf numFmtId="352" fontId="48" fillId="30" borderId="128" applyNumberFormat="0" applyProtection="0">
      <alignment horizontal="left" vertical="top" indent="1"/>
    </xf>
    <xf numFmtId="4" fontId="48" fillId="26" borderId="123" applyNumberFormat="0" applyProtection="0">
      <alignment horizontal="right" vertical="center"/>
    </xf>
    <xf numFmtId="352" fontId="48" fillId="32" borderId="128" applyNumberFormat="0" applyProtection="0">
      <alignment horizontal="left" vertical="top" indent="1"/>
    </xf>
    <xf numFmtId="352" fontId="4" fillId="32" borderId="128" applyNumberFormat="0" applyProtection="0">
      <alignment horizontal="left" vertical="center" indent="1"/>
    </xf>
    <xf numFmtId="4" fontId="48" fillId="0" borderId="123" applyNumberFormat="0" applyProtection="0">
      <alignment horizontal="right" vertical="center"/>
    </xf>
    <xf numFmtId="352" fontId="48" fillId="19" borderId="128" applyNumberFormat="0" applyProtection="0">
      <alignment horizontal="left" vertical="top" indent="1"/>
    </xf>
    <xf numFmtId="352" fontId="248" fillId="128" borderId="123" applyNumberFormat="0" applyAlignment="0" applyProtection="0"/>
    <xf numFmtId="352" fontId="137" fillId="14" borderId="123" applyNumberFormat="0" applyAlignment="0" applyProtection="0"/>
    <xf numFmtId="4" fontId="48" fillId="45" borderId="123" applyNumberFormat="0" applyProtection="0">
      <alignment horizontal="left" vertical="center" indent="1"/>
    </xf>
    <xf numFmtId="4" fontId="252" fillId="61" borderId="128" applyNumberFormat="0" applyProtection="0">
      <alignment horizontal="left" vertical="center" indent="1"/>
    </xf>
    <xf numFmtId="4" fontId="48" fillId="28" borderId="123" applyNumberFormat="0" applyProtection="0">
      <alignment horizontal="right" vertical="center"/>
    </xf>
    <xf numFmtId="4" fontId="250" fillId="5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4" fillId="33"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0"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352" fontId="248" fillId="128" borderId="123" applyNumberFormat="0" applyAlignment="0" applyProtection="0"/>
    <xf numFmtId="352" fontId="252" fillId="34" borderId="128" applyNumberFormat="0" applyProtection="0">
      <alignment horizontal="left" vertical="top" indent="1"/>
    </xf>
    <xf numFmtId="352" fontId="4" fillId="30" borderId="128" applyNumberFormat="0" applyProtection="0">
      <alignment horizontal="left" vertical="center" indent="1"/>
    </xf>
    <xf numFmtId="4" fontId="254" fillId="33" borderId="123" applyNumberFormat="0" applyProtection="0">
      <alignment horizontal="right" vertical="center"/>
    </xf>
    <xf numFmtId="352" fontId="48" fillId="30" borderId="123" applyNumberFormat="0" applyProtection="0">
      <alignment horizontal="left" vertical="center" indent="1"/>
    </xf>
    <xf numFmtId="352" fontId="48" fillId="83" borderId="123" applyNumberFormat="0" applyProtection="0">
      <alignment horizontal="left" vertical="center" indent="1"/>
    </xf>
    <xf numFmtId="4" fontId="48" fillId="20" borderId="123" applyNumberFormat="0" applyProtection="0">
      <alignment horizontal="right" vertical="center"/>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52" fontId="48" fillId="13" borderId="123" applyNumberFormat="0" applyFont="0" applyAlignment="0" applyProtection="0"/>
    <xf numFmtId="4" fontId="48" fillId="23" borderId="123" applyNumberFormat="0" applyProtection="0">
      <alignment horizontal="right" vertical="center"/>
    </xf>
    <xf numFmtId="352" fontId="48" fillId="32" borderId="123" applyNumberFormat="0" applyProtection="0">
      <alignment horizontal="left" vertical="center" indent="1"/>
    </xf>
    <xf numFmtId="352" fontId="48" fillId="30" borderId="128" applyNumberFormat="0" applyProtection="0">
      <alignment horizontal="left" vertical="top" indent="1"/>
    </xf>
    <xf numFmtId="4" fontId="48" fillId="19" borderId="123" applyNumberFormat="0" applyProtection="0">
      <alignment horizontal="right" vertical="center"/>
    </xf>
    <xf numFmtId="352" fontId="252" fillId="34"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1"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352" fontId="48" fillId="19"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248" fillId="128" borderId="123" applyNumberFormat="0" applyAlignment="0" applyProtection="0"/>
    <xf numFmtId="352" fontId="48" fillId="31" borderId="128" applyNumberFormat="0" applyProtection="0">
      <alignment horizontal="left" vertical="top" indent="1"/>
    </xf>
    <xf numFmtId="352" fontId="48" fillId="32" borderId="128" applyNumberFormat="0" applyProtection="0">
      <alignment horizontal="left" vertical="top" indent="1"/>
    </xf>
    <xf numFmtId="4" fontId="252" fillId="34" borderId="128" applyNumberFormat="0" applyProtection="0">
      <alignment vertical="center"/>
    </xf>
    <xf numFmtId="37" fontId="59" fillId="0" borderId="131" applyNumberFormat="0"/>
    <xf numFmtId="352" fontId="48" fillId="13" borderId="123" applyNumberFormat="0" applyFont="0" applyAlignment="0" applyProtection="0"/>
    <xf numFmtId="352" fontId="48" fillId="31" borderId="128" applyNumberFormat="0" applyProtection="0">
      <alignment horizontal="left" vertical="top" indent="1"/>
    </xf>
    <xf numFmtId="4" fontId="48" fillId="20" borderId="123" applyNumberFormat="0" applyProtection="0">
      <alignment horizontal="right" vertical="center"/>
    </xf>
    <xf numFmtId="352" fontId="137" fillId="14" borderId="123" applyNumberFormat="0" applyAlignment="0" applyProtection="0"/>
    <xf numFmtId="4" fontId="250" fillId="50" borderId="123" applyNumberFormat="0" applyProtection="0">
      <alignment horizontal="right" vertical="center"/>
    </xf>
    <xf numFmtId="352" fontId="48" fillId="31" borderId="128" applyNumberFormat="0" applyProtection="0">
      <alignment horizontal="left" vertical="top" indent="1"/>
    </xf>
    <xf numFmtId="4" fontId="253" fillId="35" borderId="129"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30" borderId="129" applyNumberFormat="0" applyProtection="0">
      <alignment horizontal="left" vertical="center" indent="1"/>
    </xf>
    <xf numFmtId="352" fontId="252" fillId="34" borderId="128" applyNumberFormat="0" applyProtection="0">
      <alignment horizontal="left" vertical="top" indent="1"/>
    </xf>
    <xf numFmtId="352" fontId="48" fillId="31" borderId="128" applyNumberFormat="0" applyProtection="0">
      <alignment horizontal="left" vertical="top" indent="1"/>
    </xf>
    <xf numFmtId="4" fontId="48" fillId="18" borderId="123" applyNumberFormat="0" applyProtection="0">
      <alignment vertical="center"/>
    </xf>
    <xf numFmtId="4" fontId="48" fillId="64" borderId="123" applyNumberFormat="0" applyProtection="0">
      <alignment horizontal="left" vertical="center"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0" borderId="128" applyNumberFormat="0" applyProtection="0">
      <alignment horizontal="left" vertical="top" indent="1"/>
    </xf>
    <xf numFmtId="4" fontId="252" fillId="61" borderId="128"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4" fontId="254" fillId="33" borderId="123" applyNumberFormat="0" applyProtection="0">
      <alignment horizontal="right" vertical="center"/>
    </xf>
    <xf numFmtId="37" fontId="59" fillId="0" borderId="131" applyNumberFormat="0"/>
    <xf numFmtId="352" fontId="10" fillId="0" borderId="132" applyNumberFormat="0" applyFill="0" applyAlignment="0" applyProtection="0"/>
    <xf numFmtId="352" fontId="10" fillId="0" borderId="132" applyNumberFormat="0" applyFill="0" applyAlignment="0" applyProtection="0"/>
    <xf numFmtId="352" fontId="48" fillId="30" borderId="123" applyNumberFormat="0" applyProtection="0">
      <alignment horizontal="left" vertical="center" indent="1"/>
    </xf>
    <xf numFmtId="352" fontId="248" fillId="128" borderId="123" applyNumberFormat="0" applyAlignment="0" applyProtection="0"/>
    <xf numFmtId="352" fontId="248" fillId="128" borderId="123" applyNumberFormat="0" applyAlignment="0" applyProtection="0"/>
    <xf numFmtId="210" fontId="59" fillId="0" borderId="32" applyFill="0"/>
    <xf numFmtId="4" fontId="48" fillId="0" borderId="123" applyNumberFormat="0" applyProtection="0">
      <alignment horizontal="right" vertical="center"/>
    </xf>
    <xf numFmtId="4" fontId="250" fillId="50" borderId="123" applyNumberFormat="0" applyProtection="0">
      <alignment horizontal="right" vertical="center"/>
    </xf>
    <xf numFmtId="4" fontId="48" fillId="64" borderId="123" applyNumberFormat="0" applyProtection="0">
      <alignment horizontal="left" vertical="center" indent="1"/>
    </xf>
    <xf numFmtId="4" fontId="254" fillId="33" borderId="123" applyNumberFormat="0" applyProtection="0">
      <alignment horizontal="right" vertical="center"/>
    </xf>
    <xf numFmtId="352" fontId="48" fillId="32" borderId="128" applyNumberFormat="0" applyProtection="0">
      <alignment horizontal="left" vertical="top" indent="1"/>
    </xf>
    <xf numFmtId="4" fontId="252" fillId="61" borderId="128" applyNumberFormat="0" applyProtection="0">
      <alignment horizontal="left" vertical="center" indent="1"/>
    </xf>
    <xf numFmtId="4" fontId="252" fillId="34" borderId="128" applyNumberFormat="0" applyProtection="0">
      <alignment vertical="center"/>
    </xf>
    <xf numFmtId="352" fontId="4" fillId="32" borderId="128" applyNumberFormat="0" applyProtection="0">
      <alignment horizontal="left" vertical="top" indent="1"/>
    </xf>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352" fontId="48" fillId="30" borderId="128" applyNumberFormat="0" applyProtection="0">
      <alignment horizontal="left" vertical="top" indent="1"/>
    </xf>
    <xf numFmtId="352" fontId="48" fillId="19" borderId="128" applyNumberFormat="0" applyProtection="0">
      <alignment horizontal="left" vertical="top" indent="1"/>
    </xf>
    <xf numFmtId="352" fontId="248" fillId="128" borderId="123" applyNumberFormat="0" applyAlignment="0" applyProtection="0"/>
    <xf numFmtId="352" fontId="10" fillId="0" borderId="132" applyNumberFormat="0" applyFill="0" applyAlignment="0" applyProtection="0"/>
    <xf numFmtId="352" fontId="10" fillId="0" borderId="132" applyNumberFormat="0" applyFill="0" applyAlignment="0" applyProtection="0"/>
    <xf numFmtId="37" fontId="59" fillId="0" borderId="131" applyNumberFormat="0"/>
    <xf numFmtId="4" fontId="254" fillId="33" borderId="123" applyNumberFormat="0" applyProtection="0">
      <alignment horizontal="right" vertical="center"/>
    </xf>
    <xf numFmtId="4" fontId="253" fillId="35" borderId="129" applyNumberFormat="0" applyProtection="0">
      <alignment horizontal="left" vertical="center" indent="1"/>
    </xf>
    <xf numFmtId="352" fontId="252" fillId="19" borderId="128" applyNumberFormat="0" applyProtection="0">
      <alignment horizontal="left" vertical="top" indent="1"/>
    </xf>
    <xf numFmtId="4" fontId="48" fillId="64" borderId="123" applyNumberFormat="0" applyProtection="0">
      <alignment horizontal="left" vertical="center" indent="1"/>
    </xf>
    <xf numFmtId="4" fontId="250" fillId="50" borderId="123" applyNumberFormat="0" applyProtection="0">
      <alignment horizontal="right" vertical="center"/>
    </xf>
    <xf numFmtId="4" fontId="48" fillId="0" borderId="123" applyNumberFormat="0" applyProtection="0">
      <alignment horizontal="right" vertical="center"/>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center"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83" borderId="123"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19" borderId="129" applyNumberFormat="0" applyProtection="0">
      <alignment horizontal="left" vertical="center" indent="1"/>
    </xf>
    <xf numFmtId="4" fontId="48" fillId="30" borderId="129" applyNumberFormat="0" applyProtection="0">
      <alignment horizontal="left" vertical="center" indent="1"/>
    </xf>
    <xf numFmtId="4" fontId="48" fillId="19" borderId="123" applyNumberFormat="0" applyProtection="0">
      <alignment horizontal="right" vertical="center"/>
    </xf>
    <xf numFmtId="4" fontId="4" fillId="31" borderId="129" applyNumberFormat="0" applyProtection="0">
      <alignment horizontal="left" vertical="center" indent="1"/>
    </xf>
    <xf numFmtId="4" fontId="4" fillId="31" borderId="129" applyNumberFormat="0" applyProtection="0">
      <alignment horizontal="left" vertical="center" indent="1"/>
    </xf>
    <xf numFmtId="4" fontId="48" fillId="29" borderId="129" applyNumberFormat="0" applyProtection="0">
      <alignment horizontal="left" vertical="center" indent="1"/>
    </xf>
    <xf numFmtId="4" fontId="48" fillId="28" borderId="123" applyNumberFormat="0" applyProtection="0">
      <alignment horizontal="right" vertical="center"/>
    </xf>
    <xf numFmtId="4" fontId="48" fillId="27" borderId="123" applyNumberFormat="0" applyProtection="0">
      <alignment horizontal="right" vertical="center"/>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22" borderId="129" applyNumberFormat="0" applyProtection="0">
      <alignment horizontal="right" vertical="center"/>
    </xf>
    <xf numFmtId="4" fontId="48" fillId="131" borderId="123" applyNumberFormat="0" applyProtection="0">
      <alignment horizontal="right" vertical="center"/>
    </xf>
    <xf numFmtId="4" fontId="48" fillId="20" borderId="123" applyNumberFormat="0" applyProtection="0">
      <alignment horizontal="right" vertical="center"/>
    </xf>
    <xf numFmtId="4" fontId="48" fillId="64" borderId="123" applyNumberFormat="0" applyProtection="0">
      <alignment horizontal="left" vertical="center" indent="1"/>
    </xf>
    <xf numFmtId="352" fontId="251" fillId="18" borderId="128" applyNumberFormat="0" applyProtection="0">
      <alignment horizontal="left" vertical="top" indent="1"/>
    </xf>
    <xf numFmtId="4" fontId="48" fillId="45" borderId="123" applyNumberFormat="0" applyProtection="0">
      <alignment horizontal="left" vertical="center" indent="1"/>
    </xf>
    <xf numFmtId="4" fontId="250" fillId="45" borderId="123" applyNumberFormat="0" applyProtection="0">
      <alignment vertical="center"/>
    </xf>
    <xf numFmtId="4" fontId="48" fillId="18" borderId="123" applyNumberFormat="0" applyProtection="0">
      <alignment vertical="center"/>
    </xf>
    <xf numFmtId="352" fontId="179" fillId="128" borderId="127" applyNumberFormat="0" applyAlignment="0" applyProtection="0"/>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137" fillId="14" borderId="123" applyNumberFormat="0" applyAlignment="0" applyProtection="0"/>
    <xf numFmtId="352" fontId="248" fillId="128" borderId="123" applyNumberFormat="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352" fontId="88" fillId="31" borderId="130" applyBorder="0"/>
    <xf numFmtId="352" fontId="48" fillId="13" borderId="123" applyNumberFormat="0" applyFont="0" applyAlignment="0" applyProtection="0"/>
    <xf numFmtId="352" fontId="48" fillId="30" borderId="128" applyNumberFormat="0" applyProtection="0">
      <alignment horizontal="left" vertical="top"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 fillId="30" borderId="128" applyNumberFormat="0" applyProtection="0">
      <alignment horizontal="left" vertical="top" indent="1"/>
    </xf>
    <xf numFmtId="4" fontId="250" fillId="50" borderId="123" applyNumberFormat="0" applyProtection="0">
      <alignment horizontal="right" vertical="center"/>
    </xf>
    <xf numFmtId="4" fontId="48" fillId="64" borderId="123" applyNumberFormat="0" applyProtection="0">
      <alignment horizontal="left" vertical="center" indent="1"/>
    </xf>
    <xf numFmtId="352" fontId="252" fillId="19" borderId="128" applyNumberFormat="0" applyProtection="0">
      <alignment horizontal="left" vertical="top" indent="1"/>
    </xf>
    <xf numFmtId="4" fontId="253" fillId="35" borderId="129" applyNumberFormat="0" applyProtection="0">
      <alignment horizontal="left" vertical="center" indent="1"/>
    </xf>
    <xf numFmtId="37" fontId="59" fillId="0" borderId="131" applyNumberFormat="0"/>
    <xf numFmtId="352" fontId="10" fillId="0" borderId="132" applyNumberFormat="0" applyFill="0" applyAlignment="0" applyProtection="0"/>
    <xf numFmtId="352" fontId="48" fillId="32" borderId="128" applyNumberFormat="0" applyProtection="0">
      <alignment horizontal="left" vertical="top" indent="1"/>
    </xf>
    <xf numFmtId="352" fontId="48" fillId="19" borderId="128" applyNumberFormat="0" applyProtection="0">
      <alignment horizontal="left" vertical="top" indent="1"/>
    </xf>
    <xf numFmtId="4" fontId="48" fillId="23" borderId="123" applyNumberFormat="0" applyProtection="0">
      <alignment horizontal="right" vertical="center"/>
    </xf>
    <xf numFmtId="352" fontId="48" fillId="83"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352" fontId="48" fillId="30" borderId="123" applyNumberFormat="0" applyProtection="0">
      <alignment horizontal="left" vertical="center" indent="1"/>
    </xf>
    <xf numFmtId="210" fontId="59" fillId="0" borderId="32" applyFill="0"/>
    <xf numFmtId="4" fontId="252" fillId="34" borderId="128" applyNumberFormat="0" applyProtection="0">
      <alignment vertical="center"/>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25" borderId="123" applyNumberFormat="0" applyProtection="0">
      <alignment horizontal="right" vertical="center"/>
    </xf>
    <xf numFmtId="4" fontId="48" fillId="24" borderId="123" applyNumberFormat="0" applyProtection="0">
      <alignment horizontal="right" vertical="center"/>
    </xf>
    <xf numFmtId="4" fontId="48" fillId="23" borderId="123" applyNumberFormat="0" applyProtection="0">
      <alignment horizontal="right" vertical="center"/>
    </xf>
    <xf numFmtId="4" fontId="48" fillId="18" borderId="123" applyNumberFormat="0" applyProtection="0">
      <alignmen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 fillId="30" borderId="128" applyNumberFormat="0" applyProtection="0">
      <alignment horizontal="left" vertical="center" indent="1"/>
    </xf>
    <xf numFmtId="352" fontId="248" fillId="128" borderId="123" applyNumberFormat="0" applyAlignment="0" applyProtection="0"/>
    <xf numFmtId="352" fontId="48" fillId="30" borderId="123" applyNumberFormat="0" applyProtection="0">
      <alignment horizontal="left" vertical="center" indent="1"/>
    </xf>
    <xf numFmtId="352" fontId="48" fillId="32" borderId="128" applyNumberFormat="0" applyProtection="0">
      <alignment horizontal="left" vertical="top" indent="1"/>
    </xf>
    <xf numFmtId="37" fontId="59" fillId="0" borderId="131" applyNumberFormat="0"/>
    <xf numFmtId="352" fontId="48" fillId="13" borderId="123" applyNumberFormat="0" applyFont="0" applyAlignment="0" applyProtection="0"/>
    <xf numFmtId="4" fontId="253" fillId="35" borderId="129" applyNumberFormat="0" applyProtection="0">
      <alignment horizontal="left" vertical="center" indent="1"/>
    </xf>
    <xf numFmtId="164" fontId="7" fillId="0" borderId="0" applyFont="0" applyFill="0" applyBorder="0" applyAlignment="0" applyProtection="0"/>
    <xf numFmtId="352" fontId="48" fillId="13" borderId="123" applyNumberFormat="0" applyFont="0" applyAlignment="0" applyProtection="0"/>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252" fillId="34" borderId="128" applyNumberFormat="0" applyProtection="0">
      <alignmen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top" indent="1"/>
    </xf>
    <xf numFmtId="4" fontId="48" fillId="26" borderId="123" applyNumberFormat="0" applyProtection="0">
      <alignment horizontal="right" vertical="center"/>
    </xf>
    <xf numFmtId="4" fontId="254" fillId="33" borderId="123" applyNumberFormat="0" applyProtection="0">
      <alignment horizontal="right" vertical="center"/>
    </xf>
    <xf numFmtId="352" fontId="10" fillId="0" borderId="132" applyNumberFormat="0" applyFill="0" applyAlignment="0" applyProtection="0"/>
    <xf numFmtId="352" fontId="4" fillId="30" borderId="128" applyNumberFormat="0" applyProtection="0">
      <alignment horizontal="left" vertical="center" indent="1"/>
    </xf>
    <xf numFmtId="352" fontId="48" fillId="19" borderId="128" applyNumberFormat="0" applyProtection="0">
      <alignment horizontal="left" vertical="top" indent="1"/>
    </xf>
    <xf numFmtId="352" fontId="248" fillId="128" borderId="123" applyNumberFormat="0" applyAlignment="0" applyProtection="0"/>
    <xf numFmtId="4" fontId="48" fillId="24" borderId="123" applyNumberFormat="0" applyProtection="0">
      <alignment horizontal="right" vertical="center"/>
    </xf>
    <xf numFmtId="210" fontId="59" fillId="0" borderId="32" applyFill="0"/>
    <xf numFmtId="352" fontId="48" fillId="13" borderId="123" applyNumberFormat="0" applyFont="0" applyAlignment="0" applyProtection="0"/>
    <xf numFmtId="352" fontId="252" fillId="34" borderId="128" applyNumberFormat="0" applyProtection="0">
      <alignment horizontal="left" vertical="top" indent="1"/>
    </xf>
    <xf numFmtId="4" fontId="252" fillId="34" borderId="128" applyNumberFormat="0" applyProtection="0">
      <alignment vertical="center"/>
    </xf>
    <xf numFmtId="352" fontId="48" fillId="13" borderId="123" applyNumberFormat="0" applyFont="0" applyAlignment="0" applyProtection="0"/>
    <xf numFmtId="352" fontId="48" fillId="13" borderId="123" applyNumberFormat="0" applyFont="0" applyAlignment="0" applyProtection="0"/>
    <xf numFmtId="352" fontId="251" fillId="18" borderId="128" applyNumberFormat="0" applyProtection="0">
      <alignment horizontal="left" vertical="top" indent="1"/>
    </xf>
    <xf numFmtId="4" fontId="48" fillId="25" borderId="123" applyNumberFormat="0" applyProtection="0">
      <alignment horizontal="right" vertical="center"/>
    </xf>
    <xf numFmtId="4" fontId="48" fillId="19"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137" fillId="14" borderId="123" applyNumberFormat="0" applyAlignment="0" applyProtection="0"/>
    <xf numFmtId="37" fontId="59" fillId="0" borderId="131" applyNumberFormat="0"/>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29" borderId="129" applyNumberFormat="0" applyProtection="0">
      <alignment horizontal="left" vertical="center" indent="1"/>
    </xf>
    <xf numFmtId="352" fontId="137" fillId="14" borderId="123" applyNumberFormat="0" applyAlignment="0" applyProtection="0"/>
    <xf numFmtId="4" fontId="250" fillId="50" borderId="123" applyNumberFormat="0" applyProtection="0">
      <alignment horizontal="right" vertical="center"/>
    </xf>
    <xf numFmtId="4" fontId="252" fillId="34" borderId="128" applyNumberFormat="0" applyProtection="0">
      <alignment vertical="center"/>
    </xf>
    <xf numFmtId="352" fontId="48" fillId="30" borderId="128" applyNumberFormat="0" applyProtection="0">
      <alignment horizontal="left" vertical="top" indent="1"/>
    </xf>
    <xf numFmtId="4" fontId="252" fillId="61" borderId="128" applyNumberFormat="0" applyProtection="0">
      <alignment horizontal="left" vertical="center" indent="1"/>
    </xf>
    <xf numFmtId="352" fontId="4" fillId="30" borderId="128" applyNumberFormat="0" applyProtection="0">
      <alignment horizontal="left" vertical="center" indent="1"/>
    </xf>
    <xf numFmtId="4" fontId="48" fillId="64" borderId="123" applyNumberFormat="0" applyProtection="0">
      <alignment horizontal="left" vertical="center" indent="1"/>
    </xf>
    <xf numFmtId="352" fontId="48" fillId="32" borderId="123"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4" fontId="48" fillId="27" borderId="123" applyNumberFormat="0" applyProtection="0">
      <alignment horizontal="right" vertical="center"/>
    </xf>
    <xf numFmtId="4" fontId="48" fillId="30" borderId="129" applyNumberFormat="0" applyProtection="0">
      <alignment horizontal="left" vertical="center" indent="1"/>
    </xf>
    <xf numFmtId="4" fontId="48" fillId="64" borderId="123" applyNumberFormat="0" applyProtection="0">
      <alignment horizontal="left" vertical="center" indent="1"/>
    </xf>
    <xf numFmtId="4" fontId="48" fillId="27" borderId="123" applyNumberFormat="0" applyProtection="0">
      <alignment horizontal="right" vertical="center"/>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5"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164" fontId="7" fillId="0" borderId="0" applyFont="0" applyFill="0" applyBorder="0" applyAlignment="0" applyProtection="0"/>
    <xf numFmtId="4" fontId="48" fillId="23" borderId="123" applyNumberFormat="0" applyProtection="0">
      <alignment horizontal="right" vertical="center"/>
    </xf>
    <xf numFmtId="164" fontId="7" fillId="0" borderId="0" applyFont="0" applyFill="0" applyBorder="0" applyAlignment="0" applyProtection="0"/>
    <xf numFmtId="352" fontId="48" fillId="13" borderId="123" applyNumberFormat="0" applyFont="0" applyAlignment="0" applyProtection="0"/>
    <xf numFmtId="4" fontId="48" fillId="18" borderId="123" applyNumberFormat="0" applyProtection="0">
      <alignment vertical="center"/>
    </xf>
    <xf numFmtId="4" fontId="250" fillId="45" borderId="123" applyNumberFormat="0" applyProtection="0">
      <alignment vertical="center"/>
    </xf>
    <xf numFmtId="4" fontId="48" fillId="25" borderId="123" applyNumberFormat="0" applyProtection="0">
      <alignment horizontal="right" vertical="center"/>
    </xf>
    <xf numFmtId="4" fontId="48" fillId="29" borderId="129" applyNumberFormat="0" applyProtection="0">
      <alignment horizontal="left" vertical="center" indent="1"/>
    </xf>
    <xf numFmtId="4" fontId="48" fillId="131" borderId="123" applyNumberFormat="0" applyProtection="0">
      <alignment horizontal="right" vertical="center"/>
    </xf>
    <xf numFmtId="4" fontId="48" fillId="19" borderId="123" applyNumberFormat="0" applyProtection="0">
      <alignment horizontal="right" vertical="center"/>
    </xf>
    <xf numFmtId="352" fontId="48" fillId="61" borderId="123" applyNumberFormat="0" applyProtection="0">
      <alignment horizontal="left" vertical="center" indent="1"/>
    </xf>
    <xf numFmtId="210" fontId="59" fillId="0" borderId="32" applyFill="0"/>
    <xf numFmtId="352" fontId="48" fillId="32" borderId="128" applyNumberFormat="0" applyProtection="0">
      <alignment horizontal="left" vertical="top" indent="1"/>
    </xf>
    <xf numFmtId="4" fontId="48" fillId="19"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179" fillId="128" borderId="127" applyNumberFormat="0" applyAlignment="0" applyProtection="0"/>
    <xf numFmtId="352" fontId="48" fillId="61" borderId="123"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center" indent="1"/>
    </xf>
    <xf numFmtId="4" fontId="48" fillId="27" borderId="123" applyNumberFormat="0" applyProtection="0">
      <alignment horizontal="right" vertical="center"/>
    </xf>
    <xf numFmtId="352" fontId="251" fillId="18" borderId="128" applyNumberFormat="0" applyProtection="0">
      <alignment horizontal="left" vertical="top"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131" borderId="123" applyNumberFormat="0" applyProtection="0">
      <alignment horizontal="right" vertical="center"/>
    </xf>
    <xf numFmtId="4" fontId="48" fillId="45" borderId="123" applyNumberFormat="0" applyProtection="0">
      <alignment horizontal="left" vertical="center" indent="1"/>
    </xf>
    <xf numFmtId="4" fontId="4" fillId="31" borderId="129" applyNumberFormat="0" applyProtection="0">
      <alignment horizontal="left" vertical="center" indent="1"/>
    </xf>
    <xf numFmtId="4" fontId="48" fillId="25" borderId="123" applyNumberFormat="0" applyProtection="0">
      <alignment horizontal="right" vertical="center"/>
    </xf>
    <xf numFmtId="4" fontId="48" fillId="23"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 fillId="30" borderId="128" applyNumberFormat="0" applyProtection="0">
      <alignment horizontal="left" vertical="top"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10" fillId="0" borderId="132" applyNumberFormat="0" applyFill="0" applyAlignment="0" applyProtection="0"/>
    <xf numFmtId="352" fontId="88" fillId="31" borderId="130" applyBorder="0"/>
    <xf numFmtId="352" fontId="48" fillId="30" borderId="128" applyNumberFormat="0" applyProtection="0">
      <alignment horizontal="left" vertical="top" indent="1"/>
    </xf>
    <xf numFmtId="352" fontId="48" fillId="30" borderId="128" applyNumberFormat="0" applyProtection="0">
      <alignment horizontal="left" vertical="top" indent="1"/>
    </xf>
    <xf numFmtId="210" fontId="59" fillId="0" borderId="32" applyFill="0"/>
    <xf numFmtId="352" fontId="48" fillId="30"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137" fillId="14" borderId="123" applyNumberFormat="0" applyAlignment="0" applyProtection="0"/>
    <xf numFmtId="352" fontId="4" fillId="32" borderId="128" applyNumberFormat="0" applyProtection="0">
      <alignment horizontal="left" vertical="top" indent="1"/>
    </xf>
    <xf numFmtId="352" fontId="137" fillId="14" borderId="123" applyNumberFormat="0" applyAlignment="0" applyProtection="0"/>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7" borderId="123" applyNumberFormat="0" applyProtection="0">
      <alignment horizontal="right" vertical="center"/>
    </xf>
    <xf numFmtId="4" fontId="48" fillId="20"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4" fontId="48" fillId="131" borderId="123" applyNumberFormat="0" applyProtection="0">
      <alignment horizontal="right" vertical="center"/>
    </xf>
    <xf numFmtId="352" fontId="48" fillId="30" borderId="128" applyNumberFormat="0" applyProtection="0">
      <alignment horizontal="left" vertical="top" indent="1"/>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48" fillId="0" borderId="123" applyNumberFormat="0" applyProtection="0">
      <alignment horizontal="right" vertical="center"/>
    </xf>
    <xf numFmtId="352" fontId="4" fillId="32" borderId="128" applyNumberFormat="0" applyProtection="0">
      <alignment horizontal="left" vertical="top" indent="1"/>
    </xf>
    <xf numFmtId="37" fontId="59" fillId="0" borderId="131" applyNumberFormat="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9" applyNumberFormat="0" applyProtection="0">
      <alignment horizontal="left" vertical="center" indent="1"/>
    </xf>
    <xf numFmtId="4" fontId="48" fillId="22" borderId="129" applyNumberFormat="0" applyProtection="0">
      <alignment horizontal="right" vertical="center"/>
    </xf>
    <xf numFmtId="352" fontId="248" fillId="128" borderId="123" applyNumberFormat="0" applyAlignment="0" applyProtection="0"/>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31" borderId="128" applyNumberFormat="0" applyProtection="0">
      <alignment horizontal="left" vertical="top" indent="1"/>
    </xf>
    <xf numFmtId="4" fontId="48" fillId="0" borderId="123" applyNumberFormat="0" applyProtection="0">
      <alignment horizontal="right" vertical="center"/>
    </xf>
    <xf numFmtId="352" fontId="48" fillId="13" borderId="123" applyNumberFormat="0" applyFont="0" applyAlignment="0" applyProtection="0"/>
    <xf numFmtId="4" fontId="48" fillId="23" borderId="123" applyNumberFormat="0" applyProtection="0">
      <alignment horizontal="right" vertical="center"/>
    </xf>
    <xf numFmtId="4" fontId="48" fillId="23" borderId="123" applyNumberFormat="0" applyProtection="0">
      <alignment horizontal="right" vertical="center"/>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20" borderId="123" applyNumberFormat="0" applyProtection="0">
      <alignment horizontal="right" vertical="center"/>
    </xf>
    <xf numFmtId="352" fontId="48" fillId="30" borderId="128" applyNumberFormat="0" applyProtection="0">
      <alignment horizontal="left" vertical="top" indent="1"/>
    </xf>
    <xf numFmtId="352" fontId="48" fillId="31"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4" fontId="48" fillId="64" borderId="123" applyNumberFormat="0" applyProtection="0">
      <alignment horizontal="left" vertical="center" indent="1"/>
    </xf>
    <xf numFmtId="352" fontId="48" fillId="30" borderId="128" applyNumberFormat="0" applyProtection="0">
      <alignment horizontal="left" vertical="top" indent="1"/>
    </xf>
    <xf numFmtId="352" fontId="48" fillId="19"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164" fontId="7" fillId="0" borderId="0" applyFont="0" applyFill="0" applyBorder="0" applyAlignment="0" applyProtection="0"/>
    <xf numFmtId="352" fontId="251" fillId="18" borderId="128" applyNumberFormat="0" applyProtection="0">
      <alignment horizontal="left" vertical="top" indent="1"/>
    </xf>
    <xf numFmtId="4" fontId="48" fillId="27" borderId="123" applyNumberFormat="0" applyProtection="0">
      <alignment horizontal="right" vertical="center"/>
    </xf>
    <xf numFmtId="4" fontId="48" fillId="19" borderId="129" applyNumberFormat="0" applyProtection="0">
      <alignment horizontal="left" vertical="center" indent="1"/>
    </xf>
    <xf numFmtId="352" fontId="4" fillId="31" borderId="128" applyNumberFormat="0" applyProtection="0">
      <alignment horizontal="left" vertical="top" indent="1"/>
    </xf>
    <xf numFmtId="352" fontId="48" fillId="32" borderId="128" applyNumberFormat="0" applyProtection="0">
      <alignment horizontal="left" vertical="top" indent="1"/>
    </xf>
    <xf numFmtId="352" fontId="48" fillId="32" borderId="123"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131" borderId="123" applyNumberFormat="0" applyProtection="0">
      <alignment horizontal="right" vertical="center"/>
    </xf>
    <xf numFmtId="352" fontId="48" fillId="13" borderId="123" applyNumberFormat="0" applyFont="0" applyAlignment="0" applyProtection="0"/>
    <xf numFmtId="352" fontId="248" fillId="128" borderId="123" applyNumberForma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19" borderId="123" applyNumberFormat="0" applyProtection="0">
      <alignment horizontal="right" vertical="center"/>
    </xf>
    <xf numFmtId="4" fontId="48" fillId="131" borderId="123" applyNumberFormat="0" applyProtection="0">
      <alignment horizontal="right" vertical="center"/>
    </xf>
    <xf numFmtId="352" fontId="48" fillId="31" borderId="128" applyNumberFormat="0" applyProtection="0">
      <alignment horizontal="left" vertical="top" indent="1"/>
    </xf>
    <xf numFmtId="4" fontId="48" fillId="29" borderId="129" applyNumberFormat="0" applyProtection="0">
      <alignment horizontal="left" vertical="center" indent="1"/>
    </xf>
    <xf numFmtId="4" fontId="48" fillId="26" borderId="123" applyNumberFormat="0" applyProtection="0">
      <alignment horizontal="right" vertical="center"/>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4" fontId="252" fillId="34" borderId="128" applyNumberFormat="0" applyProtection="0">
      <alignment vertical="center"/>
    </xf>
    <xf numFmtId="4" fontId="253" fillId="35" borderId="129" applyNumberFormat="0" applyProtection="0">
      <alignment horizontal="left" vertical="center" indent="1"/>
    </xf>
    <xf numFmtId="352" fontId="48" fillId="19" borderId="128" applyNumberFormat="0" applyProtection="0">
      <alignment horizontal="left" vertical="top" indent="1"/>
    </xf>
    <xf numFmtId="4" fontId="48" fillId="64" borderId="123" applyNumberFormat="0" applyProtection="0">
      <alignment horizontal="left" vertical="center" indent="1"/>
    </xf>
    <xf numFmtId="352" fontId="48" fillId="30" borderId="128" applyNumberFormat="0" applyProtection="0">
      <alignment horizontal="left" vertical="top" indent="1"/>
    </xf>
    <xf numFmtId="4" fontId="48" fillId="0" borderId="123" applyNumberFormat="0" applyProtection="0">
      <alignment horizontal="right" vertical="center"/>
    </xf>
    <xf numFmtId="352" fontId="248" fillId="128" borderId="123" applyNumberFormat="0" applyAlignment="0" applyProtection="0"/>
    <xf numFmtId="352" fontId="48" fillId="13" borderId="123" applyNumberFormat="0" applyFont="0" applyAlignment="0" applyProtection="0"/>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10" fillId="0" borderId="132" applyNumberFormat="0" applyFill="0" applyAlignment="0" applyProtection="0"/>
    <xf numFmtId="352" fontId="48" fillId="13" borderId="123" applyNumberFormat="0" applyFont="0" applyAlignment="0" applyProtection="0"/>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23" borderId="123" applyNumberFormat="0" applyProtection="0">
      <alignment horizontal="right" vertical="center"/>
    </xf>
    <xf numFmtId="4" fontId="250" fillId="45" borderId="123" applyNumberFormat="0" applyProtection="0">
      <alignment vertical="center"/>
    </xf>
    <xf numFmtId="352" fontId="48" fillId="13" borderId="123" applyNumberFormat="0" applyFont="0" applyAlignment="0" applyProtection="0"/>
    <xf numFmtId="352" fontId="248" fillId="128" borderId="123" applyNumberFormat="0" applyAlignment="0" applyProtection="0"/>
    <xf numFmtId="4" fontId="48" fillId="131" borderId="123" applyNumberFormat="0" applyProtection="0">
      <alignment horizontal="right" vertical="center"/>
    </xf>
    <xf numFmtId="352" fontId="48" fillId="13" borderId="123" applyNumberFormat="0" applyFont="0" applyAlignment="0" applyProtection="0"/>
    <xf numFmtId="352" fontId="252" fillId="34" borderId="128" applyNumberFormat="0" applyProtection="0">
      <alignment horizontal="left" vertical="top" indent="1"/>
    </xf>
    <xf numFmtId="4" fontId="48" fillId="25" borderId="123" applyNumberFormat="0" applyProtection="0">
      <alignment horizontal="right" vertical="center"/>
    </xf>
    <xf numFmtId="4" fontId="4" fillId="31" borderId="129" applyNumberFormat="0" applyProtection="0">
      <alignment horizontal="left" vertical="center"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 fillId="30" borderId="128"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10" fillId="0" borderId="132" applyNumberFormat="0" applyFill="0" applyAlignment="0" applyProtection="0"/>
    <xf numFmtId="352" fontId="48" fillId="32" borderId="128" applyNumberFormat="0" applyProtection="0">
      <alignment horizontal="left" vertical="top" indent="1"/>
    </xf>
    <xf numFmtId="352" fontId="248" fillId="128" borderId="123" applyNumberFormat="0" applyAlignment="0" applyProtection="0"/>
    <xf numFmtId="4" fontId="48" fillId="0" borderId="123" applyNumberFormat="0" applyProtection="0">
      <alignment horizontal="right" vertical="center"/>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83" borderId="123" applyNumberFormat="0" applyProtection="0">
      <alignment horizontal="left" vertical="center" indent="1"/>
    </xf>
    <xf numFmtId="352" fontId="4" fillId="31" borderId="128" applyNumberFormat="0" applyProtection="0">
      <alignment horizontal="left" vertical="top" indent="1"/>
    </xf>
    <xf numFmtId="4" fontId="48" fillId="28" borderId="123" applyNumberFormat="0" applyProtection="0">
      <alignment horizontal="right" vertical="center"/>
    </xf>
    <xf numFmtId="352" fontId="251" fillId="18" borderId="128" applyNumberFormat="0" applyProtection="0">
      <alignment horizontal="left" vertical="top" indent="1"/>
    </xf>
    <xf numFmtId="352" fontId="88" fillId="31" borderId="130" applyBorder="0"/>
    <xf numFmtId="352" fontId="48" fillId="32" borderId="123" applyNumberFormat="0" applyProtection="0">
      <alignment horizontal="left" vertical="center" indent="1"/>
    </xf>
    <xf numFmtId="352" fontId="137" fillId="14" borderId="123" applyNumberFormat="0" applyAlignment="0" applyProtection="0"/>
    <xf numFmtId="4" fontId="252" fillId="61" borderId="128" applyNumberFormat="0" applyProtection="0">
      <alignment horizontal="left" vertical="center" indent="1"/>
    </xf>
    <xf numFmtId="352" fontId="48" fillId="13" borderId="123" applyNumberFormat="0" applyFont="0" applyAlignment="0" applyProtection="0"/>
    <xf numFmtId="352" fontId="248" fillId="128" borderId="123" applyNumberFormat="0" applyAlignment="0" applyProtection="0"/>
    <xf numFmtId="4" fontId="48" fillId="45" borderId="123" applyNumberFormat="0" applyProtection="0">
      <alignment horizontal="left" vertical="center" indent="1"/>
    </xf>
    <xf numFmtId="4" fontId="48" fillId="24" borderId="123" applyNumberFormat="0" applyProtection="0">
      <alignment horizontal="right" vertical="center"/>
    </xf>
    <xf numFmtId="4" fontId="4" fillId="31" borderId="129" applyNumberFormat="0" applyProtection="0">
      <alignment horizontal="left" vertical="center" indent="1"/>
    </xf>
    <xf numFmtId="352" fontId="4"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3" applyNumberFormat="0" applyProtection="0">
      <alignment horizontal="left" vertical="center" indent="1"/>
    </xf>
    <xf numFmtId="352" fontId="10" fillId="0" borderId="132" applyNumberFormat="0" applyFill="0" applyAlignment="0" applyProtection="0"/>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252" fillId="34" borderId="128" applyNumberFormat="0" applyProtection="0">
      <alignment horizontal="left" vertical="top" indent="1"/>
    </xf>
    <xf numFmtId="352" fontId="48" fillId="30" borderId="128" applyNumberFormat="0" applyProtection="0">
      <alignment horizontal="left" vertical="top" indent="1"/>
    </xf>
    <xf numFmtId="352" fontId="252" fillId="34" borderId="128" applyNumberFormat="0" applyProtection="0">
      <alignment horizontal="left" vertical="top" indent="1"/>
    </xf>
    <xf numFmtId="352" fontId="48" fillId="32" borderId="128" applyNumberFormat="0" applyProtection="0">
      <alignment horizontal="left" vertical="top" indent="1"/>
    </xf>
    <xf numFmtId="352" fontId="252" fillId="19" borderId="128" applyNumberFormat="0" applyProtection="0">
      <alignment horizontal="left" vertical="top" indent="1"/>
    </xf>
    <xf numFmtId="352" fontId="88" fillId="31" borderId="130" applyBorder="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210" fontId="59" fillId="0" borderId="32" applyFill="0"/>
    <xf numFmtId="4" fontId="48" fillId="28" borderId="123" applyNumberFormat="0" applyProtection="0">
      <alignment horizontal="right" vertical="center"/>
    </xf>
    <xf numFmtId="4" fontId="48" fillId="19" borderId="129" applyNumberFormat="0" applyProtection="0">
      <alignment horizontal="left" vertical="center" indent="1"/>
    </xf>
    <xf numFmtId="4" fontId="48" fillId="20" borderId="123" applyNumberFormat="0" applyProtection="0">
      <alignment horizontal="right" vertical="center"/>
    </xf>
    <xf numFmtId="4" fontId="48" fillId="28" borderId="123" applyNumberFormat="0" applyProtection="0">
      <alignment horizontal="right" vertical="center"/>
    </xf>
    <xf numFmtId="352" fontId="179" fillId="128" borderId="127"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4" fontId="48" fillId="18" borderId="123" applyNumberFormat="0" applyProtection="0">
      <alignment vertical="center"/>
    </xf>
    <xf numFmtId="4" fontId="48" fillId="24" borderId="123" applyNumberFormat="0" applyProtection="0">
      <alignment horizontal="right" vertical="center"/>
    </xf>
    <xf numFmtId="4" fontId="48" fillId="30" borderId="129"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 fillId="32" borderId="128" applyNumberFormat="0" applyProtection="0">
      <alignment horizontal="left" vertical="center"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4" borderId="123" applyNumberFormat="0" applyProtection="0">
      <alignment horizontal="right" vertical="center"/>
    </xf>
    <xf numFmtId="4" fontId="48" fillId="18" borderId="123" applyNumberFormat="0" applyProtection="0">
      <alignment vertical="center"/>
    </xf>
    <xf numFmtId="4" fontId="48" fillId="64" borderId="123" applyNumberFormat="0" applyProtection="0">
      <alignment horizontal="left" vertical="center" indent="1"/>
    </xf>
    <xf numFmtId="4" fontId="48" fillId="45" borderId="123" applyNumberFormat="0" applyProtection="0">
      <alignment horizontal="left" vertical="center" indent="1"/>
    </xf>
    <xf numFmtId="4" fontId="48" fillId="26" borderId="123" applyNumberFormat="0" applyProtection="0">
      <alignment horizontal="right" vertical="center"/>
    </xf>
    <xf numFmtId="4" fontId="4" fillId="31" borderId="129" applyNumberFormat="0" applyProtection="0">
      <alignment horizontal="left" vertical="center" indent="1"/>
    </xf>
    <xf numFmtId="4" fontId="48" fillId="22" borderId="129" applyNumberFormat="0" applyProtection="0">
      <alignment horizontal="right" vertical="center"/>
    </xf>
    <xf numFmtId="4" fontId="48" fillId="30" borderId="129" applyNumberFormat="0" applyProtection="0">
      <alignment horizontal="left" vertical="center" indent="1"/>
    </xf>
    <xf numFmtId="352" fontId="4" fillId="31" borderId="128" applyNumberFormat="0" applyProtection="0">
      <alignment horizontal="left" vertical="center" indent="1"/>
    </xf>
    <xf numFmtId="352" fontId="48" fillId="32" borderId="128" applyNumberFormat="0" applyProtection="0">
      <alignment horizontal="left" vertical="top" indent="1"/>
    </xf>
    <xf numFmtId="4" fontId="4" fillId="31" borderId="129" applyNumberFormat="0" applyProtection="0">
      <alignment horizontal="left" vertical="center" indent="1"/>
    </xf>
    <xf numFmtId="352" fontId="179" fillId="128" borderId="127" applyNumberFormat="0" applyAlignment="0" applyProtection="0"/>
    <xf numFmtId="352" fontId="48" fillId="13" borderId="123" applyNumberFormat="0" applyFont="0" applyAlignment="0" applyProtection="0"/>
    <xf numFmtId="4" fontId="48" fillId="18" borderId="123" applyNumberFormat="0" applyProtection="0">
      <alignment vertical="center"/>
    </xf>
    <xf numFmtId="352" fontId="4" fillId="31" borderId="128" applyNumberFormat="0" applyProtection="0">
      <alignment horizontal="left" vertical="center" indent="1"/>
    </xf>
    <xf numFmtId="352" fontId="48" fillId="30" borderId="128" applyNumberFormat="0" applyProtection="0">
      <alignment horizontal="left" vertical="top" indent="1"/>
    </xf>
    <xf numFmtId="352" fontId="4"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61" borderId="123" applyNumberFormat="0" applyProtection="0">
      <alignment horizontal="left" vertical="center" indent="1"/>
    </xf>
    <xf numFmtId="4" fontId="48" fillId="26" borderId="123" applyNumberFormat="0" applyProtection="0">
      <alignment horizontal="right" vertical="center"/>
    </xf>
    <xf numFmtId="4" fontId="48" fillId="45" borderId="123" applyNumberFormat="0" applyProtection="0">
      <alignment horizontal="left" vertical="center" indent="1"/>
    </xf>
    <xf numFmtId="352" fontId="48" fillId="13" borderId="123" applyNumberFormat="0" applyFont="0" applyAlignment="0" applyProtection="0"/>
    <xf numFmtId="352" fontId="137" fillId="14" borderId="123" applyNumberForma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4" fontId="48" fillId="25" borderId="123" applyNumberFormat="0" applyProtection="0">
      <alignment horizontal="right" vertical="center"/>
    </xf>
    <xf numFmtId="352" fontId="251" fillId="18" borderId="128" applyNumberFormat="0" applyProtection="0">
      <alignment horizontal="left" vertical="top" indent="1"/>
    </xf>
    <xf numFmtId="4" fontId="48" fillId="19" borderId="123" applyNumberFormat="0" applyProtection="0">
      <alignment horizontal="right" vertical="center"/>
    </xf>
    <xf numFmtId="4" fontId="48" fillId="26" borderId="123" applyNumberFormat="0" applyProtection="0">
      <alignment horizontal="right" vertical="center"/>
    </xf>
    <xf numFmtId="4" fontId="48" fillId="24" borderId="123" applyNumberFormat="0" applyProtection="0">
      <alignment horizontal="right" vertical="center"/>
    </xf>
    <xf numFmtId="352" fontId="48" fillId="31"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0" fillId="50" borderId="123" applyNumberFormat="0" applyProtection="0">
      <alignment horizontal="right" vertical="center"/>
    </xf>
    <xf numFmtId="352" fontId="10" fillId="0" borderId="132" applyNumberFormat="0" applyFill="0" applyAlignment="0" applyProtection="0"/>
    <xf numFmtId="4" fontId="252" fillId="34" borderId="128" applyNumberFormat="0" applyProtection="0">
      <alignment vertical="center"/>
    </xf>
    <xf numFmtId="352" fontId="48" fillId="30" borderId="128" applyNumberFormat="0" applyProtection="0">
      <alignment horizontal="left" vertical="top" indent="1"/>
    </xf>
    <xf numFmtId="352" fontId="88" fillId="31" borderId="130" applyBorder="0"/>
    <xf numFmtId="4" fontId="48" fillId="0" borderId="123" applyNumberFormat="0" applyProtection="0">
      <alignment horizontal="right" vertical="center"/>
    </xf>
    <xf numFmtId="352" fontId="48" fillId="30" borderId="128" applyNumberFormat="0" applyProtection="0">
      <alignment horizontal="left" vertical="top" indent="1"/>
    </xf>
    <xf numFmtId="4" fontId="48" fillId="28" borderId="123" applyNumberFormat="0" applyProtection="0">
      <alignment horizontal="right" vertical="center"/>
    </xf>
    <xf numFmtId="352" fontId="48" fillId="61"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4" fontId="254" fillId="33" borderId="123" applyNumberFormat="0" applyProtection="0">
      <alignment horizontal="right" vertical="center"/>
    </xf>
    <xf numFmtId="352" fontId="137" fillId="14" borderId="123" applyNumberFormat="0" applyAlignment="0" applyProtection="0"/>
    <xf numFmtId="352" fontId="48" fillId="32" borderId="128" applyNumberFormat="0" applyProtection="0">
      <alignment horizontal="left" vertical="top" indent="1"/>
    </xf>
    <xf numFmtId="352" fontId="137" fillId="14" borderId="123" applyNumberFormat="0" applyAlignment="0" applyProtection="0"/>
    <xf numFmtId="352" fontId="48" fillId="83" borderId="123" applyNumberFormat="0" applyProtection="0">
      <alignment horizontal="left" vertical="center"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26" borderId="123" applyNumberFormat="0" applyProtection="0">
      <alignment horizontal="right" vertical="center"/>
    </xf>
    <xf numFmtId="4" fontId="48" fillId="64"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48" fillId="13" borderId="123" applyNumberFormat="0" applyFont="0" applyAlignment="0" applyProtection="0"/>
    <xf numFmtId="352" fontId="88" fillId="31" borderId="130" applyBorder="0"/>
    <xf numFmtId="4" fontId="48" fillId="22" borderId="129" applyNumberFormat="0" applyProtection="0">
      <alignment horizontal="right" vertical="center"/>
    </xf>
    <xf numFmtId="352" fontId="48" fillId="30" borderId="128" applyNumberFormat="0" applyProtection="0">
      <alignment horizontal="left" vertical="top" indent="1"/>
    </xf>
    <xf numFmtId="4" fontId="48" fillId="19" borderId="129"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center" indent="1"/>
    </xf>
    <xf numFmtId="352" fontId="48" fillId="19" borderId="128" applyNumberFormat="0" applyProtection="0">
      <alignment horizontal="left" vertical="top" indent="1"/>
    </xf>
    <xf numFmtId="352" fontId="4" fillId="32"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4" fontId="253" fillId="35" borderId="129" applyNumberFormat="0" applyProtection="0">
      <alignment horizontal="left" vertical="center" indent="1"/>
    </xf>
    <xf numFmtId="4" fontId="250" fillId="50" borderId="123" applyNumberFormat="0" applyProtection="0">
      <alignment horizontal="right" vertical="center"/>
    </xf>
    <xf numFmtId="352" fontId="48" fillId="13" borderId="123" applyNumberFormat="0" applyFont="0" applyAlignment="0" applyProtection="0"/>
    <xf numFmtId="4" fontId="254" fillId="33" borderId="123" applyNumberFormat="0" applyProtection="0">
      <alignment horizontal="right" vertical="center"/>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48" fillId="30" borderId="129" applyNumberFormat="0" applyProtection="0">
      <alignment horizontal="left" vertical="center" indent="1"/>
    </xf>
    <xf numFmtId="4" fontId="48" fillId="131" borderId="123" applyNumberFormat="0" applyProtection="0">
      <alignment horizontal="right" vertical="center"/>
    </xf>
    <xf numFmtId="352" fontId="48" fillId="32" borderId="128" applyNumberFormat="0" applyProtection="0">
      <alignment horizontal="left" vertical="top" indent="1"/>
    </xf>
    <xf numFmtId="352" fontId="48" fillId="13" borderId="123" applyNumberFormat="0" applyFont="0" applyAlignment="0" applyProtection="0"/>
    <xf numFmtId="352" fontId="48" fillId="13" borderId="123" applyNumberFormat="0" applyFont="0" applyAlignment="0" applyProtection="0"/>
    <xf numFmtId="352" fontId="48" fillId="32" borderId="123" applyNumberFormat="0" applyProtection="0">
      <alignment horizontal="left" vertical="center"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4" fontId="250" fillId="50" borderId="123" applyNumberFormat="0" applyProtection="0">
      <alignment horizontal="right" vertical="center"/>
    </xf>
    <xf numFmtId="352" fontId="48" fillId="13" borderId="123" applyNumberFormat="0" applyFont="0" applyAlignment="0" applyProtection="0"/>
    <xf numFmtId="4" fontId="48" fillId="22" borderId="129" applyNumberFormat="0" applyProtection="0">
      <alignment horizontal="right" vertical="center"/>
    </xf>
    <xf numFmtId="4" fontId="48" fillId="24"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8" fillId="31" borderId="128" applyNumberFormat="0" applyProtection="0">
      <alignment horizontal="left" vertical="top" indent="1"/>
    </xf>
    <xf numFmtId="352" fontId="4" fillId="19"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3" applyNumberFormat="0" applyProtection="0">
      <alignment horizontal="left" vertical="center"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7" fontId="59" fillId="0" borderId="131" applyNumberFormat="0"/>
    <xf numFmtId="4" fontId="254" fillId="33" borderId="123" applyNumberFormat="0" applyProtection="0">
      <alignment horizontal="right" vertical="center"/>
    </xf>
    <xf numFmtId="352" fontId="48" fillId="19" borderId="128" applyNumberFormat="0" applyProtection="0">
      <alignment horizontal="left" vertical="top" indent="1"/>
    </xf>
    <xf numFmtId="352" fontId="252" fillId="19" borderId="128" applyNumberFormat="0" applyProtection="0">
      <alignment horizontal="left" vertical="top" indent="1"/>
    </xf>
    <xf numFmtId="352" fontId="48" fillId="30" borderId="128" applyNumberFormat="0" applyProtection="0">
      <alignment horizontal="left" vertical="top" indent="1"/>
    </xf>
    <xf numFmtId="352" fontId="4" fillId="32" borderId="128" applyNumberFormat="0" applyProtection="0">
      <alignment horizontal="left" vertical="center" indent="1"/>
    </xf>
    <xf numFmtId="352" fontId="4" fillId="19" borderId="128" applyNumberFormat="0" applyProtection="0">
      <alignment horizontal="left" vertical="center" indent="1"/>
    </xf>
    <xf numFmtId="352" fontId="48" fillId="31" borderId="128" applyNumberFormat="0" applyProtection="0">
      <alignment horizontal="left" vertical="top" indent="1"/>
    </xf>
    <xf numFmtId="4" fontId="4" fillId="31" borderId="129" applyNumberFormat="0" applyProtection="0">
      <alignment horizontal="left" vertical="center" indent="1"/>
    </xf>
    <xf numFmtId="4" fontId="48" fillId="64" borderId="123" applyNumberFormat="0" applyProtection="0">
      <alignment horizontal="left" vertical="center" indent="1"/>
    </xf>
    <xf numFmtId="352" fontId="48" fillId="31" borderId="128" applyNumberFormat="0" applyProtection="0">
      <alignment horizontal="left" vertical="top" indent="1"/>
    </xf>
    <xf numFmtId="352" fontId="48" fillId="13" borderId="123" applyNumberFormat="0" applyFont="0" applyAlignment="0" applyProtection="0"/>
    <xf numFmtId="4" fontId="250" fillId="50" borderId="123" applyNumberFormat="0" applyProtection="0">
      <alignment horizontal="right" vertical="center"/>
    </xf>
    <xf numFmtId="352" fontId="4" fillId="30" borderId="128" applyNumberFormat="0" applyProtection="0">
      <alignment horizontal="left" vertical="top" indent="1"/>
    </xf>
    <xf numFmtId="352" fontId="48" fillId="19" borderId="128" applyNumberFormat="0" applyProtection="0">
      <alignment horizontal="left" vertical="top" indent="1"/>
    </xf>
    <xf numFmtId="4" fontId="48" fillId="29" borderId="129" applyNumberFormat="0" applyProtection="0">
      <alignment horizontal="left" vertical="center" indent="1"/>
    </xf>
    <xf numFmtId="4" fontId="48" fillId="22" borderId="129" applyNumberFormat="0" applyProtection="0">
      <alignment horizontal="right" vertical="center"/>
    </xf>
    <xf numFmtId="4" fontId="252" fillId="61" borderId="128" applyNumberFormat="0" applyProtection="0">
      <alignment horizontal="left" vertical="center" indent="1"/>
    </xf>
    <xf numFmtId="352" fontId="10" fillId="0" borderId="132" applyNumberFormat="0" applyFill="0" applyAlignment="0" applyProtection="0"/>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0" borderId="128" applyNumberFormat="0" applyProtection="0">
      <alignment horizontal="left" vertical="top" indent="1"/>
    </xf>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3" borderId="123" applyNumberFormat="0" applyFont="0" applyAlignment="0" applyProtection="0"/>
    <xf numFmtId="4" fontId="250" fillId="45" borderId="123" applyNumberFormat="0" applyProtection="0">
      <alignmen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1" borderId="128" applyNumberFormat="0" applyProtection="0">
      <alignment horizontal="left" vertical="top"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252" fillId="34" borderId="128" applyNumberFormat="0" applyProtection="0">
      <alignment horizontal="left" vertical="top" indent="1"/>
    </xf>
    <xf numFmtId="352" fontId="10" fillId="0" borderId="132" applyNumberFormat="0" applyFill="0" applyAlignment="0" applyProtection="0"/>
    <xf numFmtId="352" fontId="48" fillId="30" borderId="128" applyNumberFormat="0" applyProtection="0">
      <alignment horizontal="left" vertical="top" indent="1"/>
    </xf>
    <xf numFmtId="352" fontId="48" fillId="32" borderId="123" applyNumberFormat="0" applyProtection="0">
      <alignment horizontal="left" vertical="center"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1" borderId="128" applyNumberFormat="0" applyProtection="0">
      <alignment horizontal="left" vertical="top" indent="1"/>
    </xf>
    <xf numFmtId="4" fontId="4" fillId="31" borderId="129" applyNumberFormat="0" applyProtection="0">
      <alignment horizontal="left" vertical="center" indent="1"/>
    </xf>
    <xf numFmtId="4" fontId="48" fillId="26" borderId="123" applyNumberFormat="0" applyProtection="0">
      <alignment horizontal="right" vertical="center"/>
    </xf>
    <xf numFmtId="352" fontId="48" fillId="13" borderId="123" applyNumberFormat="0" applyFont="0" applyAlignment="0" applyProtection="0"/>
    <xf numFmtId="4" fontId="48" fillId="18" borderId="123" applyNumberFormat="0" applyProtection="0">
      <alignment vertical="center"/>
    </xf>
    <xf numFmtId="4" fontId="48" fillId="29" borderId="129" applyNumberFormat="0" applyProtection="0">
      <alignment horizontal="left" vertical="center" indent="1"/>
    </xf>
    <xf numFmtId="352" fontId="4" fillId="31" borderId="128" applyNumberFormat="0" applyProtection="0">
      <alignment horizontal="left" vertical="center" indent="1"/>
    </xf>
    <xf numFmtId="352" fontId="4" fillId="19" borderId="128" applyNumberFormat="0" applyProtection="0">
      <alignment horizontal="left" vertical="top" indent="1"/>
    </xf>
    <xf numFmtId="352" fontId="48" fillId="13" borderId="123" applyNumberFormat="0" applyFont="0" applyAlignment="0" applyProtection="0"/>
    <xf numFmtId="210" fontId="59" fillId="0" borderId="32" applyFill="0"/>
    <xf numFmtId="352" fontId="48" fillId="30" borderId="128" applyNumberFormat="0" applyProtection="0">
      <alignment horizontal="left" vertical="top"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8" fillId="31" borderId="128" applyNumberFormat="0" applyProtection="0">
      <alignment horizontal="left" vertical="top" indent="1"/>
    </xf>
    <xf numFmtId="4" fontId="48" fillId="19" borderId="123" applyNumberFormat="0" applyProtection="0">
      <alignment horizontal="right" vertical="center"/>
    </xf>
    <xf numFmtId="4" fontId="48" fillId="45" borderId="123" applyNumberFormat="0" applyProtection="0">
      <alignment horizontal="left" vertical="center" indent="1"/>
    </xf>
    <xf numFmtId="4" fontId="250" fillId="50" borderId="123" applyNumberFormat="0" applyProtection="0">
      <alignment horizontal="right" vertical="center"/>
    </xf>
    <xf numFmtId="352" fontId="48" fillId="30" borderId="128" applyNumberFormat="0" applyProtection="0">
      <alignment horizontal="left" vertical="top" indent="1"/>
    </xf>
    <xf numFmtId="352" fontId="252" fillId="19" borderId="128" applyNumberFormat="0" applyProtection="0">
      <alignment horizontal="left" vertical="top" indent="1"/>
    </xf>
    <xf numFmtId="4" fontId="254" fillId="33" borderId="123" applyNumberFormat="0" applyProtection="0">
      <alignment horizontal="right" vertical="center"/>
    </xf>
    <xf numFmtId="4" fontId="252" fillId="61" borderId="128" applyNumberFormat="0" applyProtection="0">
      <alignment horizontal="left" vertical="center" indent="1"/>
    </xf>
    <xf numFmtId="352" fontId="4" fillId="30" borderId="128" applyNumberFormat="0" applyProtection="0">
      <alignment horizontal="left" vertical="center" indent="1"/>
    </xf>
    <xf numFmtId="352" fontId="48" fillId="32" borderId="128" applyNumberFormat="0" applyProtection="0">
      <alignment horizontal="left" vertical="top" indent="1"/>
    </xf>
    <xf numFmtId="352" fontId="48" fillId="19" borderId="128" applyNumberFormat="0" applyProtection="0">
      <alignment horizontal="left" vertical="top" indent="1"/>
    </xf>
    <xf numFmtId="352" fontId="48" fillId="19" borderId="128" applyNumberFormat="0" applyProtection="0">
      <alignment horizontal="left" vertical="top" indent="1"/>
    </xf>
    <xf numFmtId="352" fontId="48" fillId="31" borderId="128" applyNumberFormat="0" applyProtection="0">
      <alignment horizontal="left" vertical="top" indent="1"/>
    </xf>
    <xf numFmtId="352" fontId="4" fillId="30" borderId="128" applyNumberFormat="0" applyProtection="0">
      <alignment horizontal="left" vertical="top" indent="1"/>
    </xf>
    <xf numFmtId="4" fontId="4" fillId="31" borderId="129" applyNumberFormat="0" applyProtection="0">
      <alignment horizontal="left" vertical="center" indent="1"/>
    </xf>
    <xf numFmtId="352" fontId="4" fillId="31" borderId="128" applyNumberFormat="0" applyProtection="0">
      <alignment horizontal="left" vertical="top" indent="1"/>
    </xf>
    <xf numFmtId="4" fontId="48" fillId="22" borderId="129" applyNumberFormat="0" applyProtection="0">
      <alignment horizontal="right" vertical="center"/>
    </xf>
    <xf numFmtId="352" fontId="48" fillId="61" borderId="123" applyNumberFormat="0" applyProtection="0">
      <alignment horizontal="left" vertical="center" indent="1"/>
    </xf>
    <xf numFmtId="4" fontId="48" fillId="45" borderId="123" applyNumberFormat="0" applyProtection="0">
      <alignment horizontal="left" vertical="center" indent="1"/>
    </xf>
    <xf numFmtId="352" fontId="48" fillId="13" borderId="123" applyNumberFormat="0" applyFont="0" applyAlignment="0" applyProtection="0"/>
    <xf numFmtId="352" fontId="48" fillId="13" borderId="123" applyNumberFormat="0" applyFont="0" applyAlignment="0" applyProtection="0"/>
    <xf numFmtId="352" fontId="248" fillId="128" borderId="123" applyNumberFormat="0" applyAlignment="0" applyProtection="0"/>
    <xf numFmtId="352" fontId="48" fillId="13" borderId="123" applyNumberFormat="0" applyFont="0" applyAlignment="0" applyProtection="0"/>
    <xf numFmtId="4" fontId="48" fillId="20" borderId="123" applyNumberFormat="0" applyProtection="0">
      <alignment horizontal="right" vertical="center"/>
    </xf>
    <xf numFmtId="4" fontId="48" fillId="29" borderId="129" applyNumberFormat="0" applyProtection="0">
      <alignment horizontal="left" vertical="center" indent="1"/>
    </xf>
    <xf numFmtId="352" fontId="4" fillId="31" borderId="128" applyNumberFormat="0" applyProtection="0">
      <alignment horizontal="left" vertical="top" indent="1"/>
    </xf>
    <xf numFmtId="352" fontId="48" fillId="83" borderId="123" applyNumberFormat="0" applyProtection="0">
      <alignment horizontal="left" vertical="center" indent="1"/>
    </xf>
    <xf numFmtId="352" fontId="48" fillId="19" borderId="128" applyNumberFormat="0" applyProtection="0">
      <alignment horizontal="left" vertical="top" indent="1"/>
    </xf>
    <xf numFmtId="352" fontId="48" fillId="32" borderId="128" applyNumberFormat="0" applyProtection="0">
      <alignment horizontal="left" vertical="top" indent="1"/>
    </xf>
    <xf numFmtId="352" fontId="48" fillId="31" borderId="128" applyNumberFormat="0" applyProtection="0">
      <alignment horizontal="left" vertical="top" indent="1"/>
    </xf>
    <xf numFmtId="4" fontId="48" fillId="28" borderId="123" applyNumberFormat="0" applyProtection="0">
      <alignment horizontal="right" vertical="center"/>
    </xf>
    <xf numFmtId="4" fontId="48" fillId="27" borderId="123" applyNumberFormat="0" applyProtection="0">
      <alignment horizontal="right" vertical="center"/>
    </xf>
    <xf numFmtId="352" fontId="48" fillId="31" borderId="128" applyNumberFormat="0" applyProtection="0">
      <alignment horizontal="left" vertical="top" indent="1"/>
    </xf>
    <xf numFmtId="352" fontId="48" fillId="32" borderId="128" applyNumberFormat="0" applyProtection="0">
      <alignment horizontal="left" vertical="top" indent="1"/>
    </xf>
    <xf numFmtId="352" fontId="248" fillId="128" borderId="123" applyNumberFormat="0" applyAlignment="0" applyProtection="0"/>
    <xf numFmtId="352" fontId="48" fillId="19" borderId="128" applyNumberFormat="0" applyProtection="0">
      <alignment horizontal="left" vertical="top" indent="1"/>
    </xf>
    <xf numFmtId="352" fontId="48" fillId="30" borderId="128" applyNumberFormat="0" applyProtection="0">
      <alignment horizontal="left" vertical="top" indent="1"/>
    </xf>
    <xf numFmtId="4" fontId="48" fillId="64" borderId="123" applyNumberFormat="0" applyProtection="0">
      <alignment horizontal="left" vertical="center" indent="1"/>
    </xf>
    <xf numFmtId="4" fontId="48" fillId="0" borderId="123" applyNumberFormat="0" applyProtection="0">
      <alignment horizontal="right" vertical="center"/>
    </xf>
    <xf numFmtId="352" fontId="48" fillId="13" borderId="123" applyNumberFormat="0" applyFont="0" applyAlignment="0" applyProtection="0"/>
    <xf numFmtId="352" fontId="137" fillId="14" borderId="123" applyNumberFormat="0" applyAlignment="0" applyProtection="0"/>
    <xf numFmtId="352" fontId="251" fillId="18" borderId="128" applyNumberFormat="0" applyProtection="0">
      <alignment horizontal="left" vertical="top" indent="1"/>
    </xf>
    <xf numFmtId="352" fontId="48" fillId="13" borderId="123" applyNumberFormat="0" applyFont="0" applyAlignment="0" applyProtection="0"/>
    <xf numFmtId="352" fontId="48" fillId="30" borderId="123"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2" fontId="248" fillId="128" borderId="123" applyNumberFormat="0" applyAlignment="0" applyProtection="0"/>
    <xf numFmtId="4" fontId="250" fillId="50" borderId="123" applyNumberFormat="0" applyProtection="0">
      <alignment horizontal="right" vertical="center"/>
    </xf>
    <xf numFmtId="352" fontId="137" fillId="14" borderId="123" applyNumberFormat="0" applyAlignment="0" applyProtection="0"/>
    <xf numFmtId="164" fontId="7" fillId="0" borderId="0" applyFont="0" applyFill="0" applyBorder="0" applyAlignment="0" applyProtection="0"/>
    <xf numFmtId="352" fontId="248" fillId="128" borderId="123" applyNumberFormat="0" applyAlignment="0" applyProtection="0"/>
    <xf numFmtId="4" fontId="48" fillId="45" borderId="123" applyNumberFormat="0" applyProtection="0">
      <alignment horizontal="left" vertical="center" indent="1"/>
    </xf>
    <xf numFmtId="352" fontId="137" fillId="14" borderId="123" applyNumberFormat="0" applyAlignment="0" applyProtection="0"/>
    <xf numFmtId="4" fontId="48" fillId="64" borderId="123" applyNumberFormat="0" applyProtection="0">
      <alignment horizontal="left" vertical="center" indent="1"/>
    </xf>
    <xf numFmtId="4" fontId="48" fillId="26" borderId="123" applyNumberFormat="0" applyProtection="0">
      <alignment horizontal="right" vertical="center"/>
    </xf>
    <xf numFmtId="164" fontId="7" fillId="0" borderId="0" applyFont="0" applyFill="0" applyBorder="0" applyAlignment="0" applyProtection="0"/>
    <xf numFmtId="4" fontId="254" fillId="33" borderId="123" applyNumberFormat="0" applyProtection="0">
      <alignment horizontal="right" vertical="center"/>
    </xf>
    <xf numFmtId="4" fontId="48" fillId="23" borderId="123" applyNumberFormat="0" applyProtection="0">
      <alignment horizontal="right" vertical="center"/>
    </xf>
  </cellStyleXfs>
  <cellXfs count="998">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1" xfId="1" applyNumberFormat="1" applyFont="1" applyFill="1" applyBorder="1" applyProtection="1"/>
    <xf numFmtId="172" fontId="5" fillId="39" borderId="87" xfId="1" applyNumberFormat="1" applyFont="1" applyFill="1" applyBorder="1" applyProtection="1"/>
    <xf numFmtId="172" fontId="5" fillId="39" borderId="88" xfId="1" applyNumberFormat="1" applyFont="1" applyFill="1" applyBorder="1" applyProtection="1"/>
    <xf numFmtId="172" fontId="6" fillId="38" borderId="91" xfId="1" applyNumberFormat="1" applyFont="1" applyFill="1" applyBorder="1" applyProtection="1"/>
    <xf numFmtId="172" fontId="6" fillId="38" borderId="86" xfId="1" applyNumberFormat="1" applyFont="1" applyFill="1" applyBorder="1" applyProtection="1"/>
    <xf numFmtId="172" fontId="5" fillId="39" borderId="92"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3"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4"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6" xfId="75" applyFont="1" applyFill="1" applyBorder="1" applyAlignment="1" applyProtection="1"/>
    <xf numFmtId="0" fontId="25" fillId="47" borderId="94" xfId="90" applyFont="1" applyFill="1" applyBorder="1" applyAlignment="1">
      <alignment horizontal="left"/>
    </xf>
    <xf numFmtId="0" fontId="27" fillId="47" borderId="98"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4"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6" xfId="0" applyFill="1" applyBorder="1"/>
    <xf numFmtId="0" fontId="25" fillId="47" borderId="94"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4" xfId="90" applyFont="1" applyFill="1" applyBorder="1" applyAlignment="1">
      <alignment horizontal="left"/>
    </xf>
    <xf numFmtId="0" fontId="30" fillId="47" borderId="94"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7" xfId="0" applyBorder="1"/>
    <xf numFmtId="0" fontId="0" fillId="0" borderId="94" xfId="0" applyBorder="1"/>
    <xf numFmtId="0" fontId="0" fillId="0" borderId="98"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6" fillId="0" borderId="0" xfId="85" applyFont="1" applyFill="1" applyBorder="1" applyAlignment="1">
      <alignment horizontal="left" vertical="center" wrapText="1"/>
    </xf>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12" xfId="1" applyNumberFormat="1" applyFont="1" applyFill="1" applyBorder="1" applyProtection="1"/>
    <xf numFmtId="172" fontId="5" fillId="38" borderId="108" xfId="1" applyNumberFormat="1" applyFont="1" applyFill="1" applyBorder="1" applyProtection="1"/>
    <xf numFmtId="172" fontId="5" fillId="38" borderId="110" xfId="1" applyNumberFormat="1" applyFont="1" applyFill="1" applyBorder="1" applyProtection="1"/>
    <xf numFmtId="172" fontId="6" fillId="38" borderId="108"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27" fillId="47" borderId="115" xfId="75" applyFont="1" applyFill="1" applyBorder="1" applyAlignment="1" applyProtection="1"/>
    <xf numFmtId="0" fontId="0" fillId="0" borderId="0" xfId="0" applyFill="1" applyBorder="1"/>
    <xf numFmtId="0" fontId="26" fillId="47" borderId="115"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4"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4"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0" xfId="0" applyNumberFormat="1" applyFill="1" applyBorder="1"/>
    <xf numFmtId="10" fontId="0" fillId="3" borderId="65" xfId="0" applyNumberFormat="1" applyFill="1" applyBorder="1"/>
    <xf numFmtId="10" fontId="0" fillId="3" borderId="66" xfId="0" applyNumberFormat="1" applyFill="1" applyBorder="1"/>
    <xf numFmtId="0" fontId="0" fillId="0" borderId="83" xfId="0" applyBorder="1" applyAlignment="1">
      <alignment horizontal="left" indent="1"/>
    </xf>
    <xf numFmtId="0" fontId="0" fillId="0" borderId="84" xfId="0" applyBorder="1" applyAlignment="1">
      <alignment horizontal="left" indent="1"/>
    </xf>
    <xf numFmtId="0" fontId="0" fillId="0" borderId="85"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0" xfId="89" applyNumberFormat="1" applyFont="1" applyFill="1" applyBorder="1" applyAlignment="1">
      <alignment horizontal="left" indent="1"/>
    </xf>
    <xf numFmtId="3" fontId="5" fillId="0" borderId="108"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20" xfId="1" applyNumberFormat="1" applyFont="1" applyFill="1" applyBorder="1" applyAlignment="1">
      <alignment horizontal="right"/>
    </xf>
    <xf numFmtId="9" fontId="0" fillId="51" borderId="99" xfId="1" applyNumberFormat="1" applyFont="1" applyFill="1" applyBorder="1" applyAlignment="1">
      <alignment horizontal="right"/>
    </xf>
    <xf numFmtId="9" fontId="0" fillId="51" borderId="100" xfId="1" applyNumberFormat="1" applyFont="1" applyFill="1" applyBorder="1" applyAlignment="1">
      <alignment horizontal="right"/>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45" fillId="0" borderId="77" xfId="7" applyFont="1" applyFill="1" applyBorder="1" applyAlignment="1">
      <alignment horizontal="center" vertical="center" wrapText="1"/>
    </xf>
    <xf numFmtId="0" fontId="245" fillId="0" borderId="78" xfId="7" applyFont="1" applyFill="1" applyBorder="1" applyAlignment="1">
      <alignment horizontal="center" vertical="center" wrapText="1"/>
    </xf>
    <xf numFmtId="0" fontId="0" fillId="118" borderId="14" xfId="0" applyFill="1" applyBorder="1"/>
    <xf numFmtId="0" fontId="0" fillId="118" borderId="0" xfId="0" applyFill="1" applyBorder="1"/>
    <xf numFmtId="0" fontId="0" fillId="118" borderId="15" xfId="0" applyFill="1" applyBorder="1"/>
    <xf numFmtId="0" fontId="0" fillId="118" borderId="94" xfId="0" applyFill="1" applyBorder="1"/>
    <xf numFmtId="0" fontId="0" fillId="118" borderId="98" xfId="0" applyFill="1" applyBorder="1"/>
    <xf numFmtId="173" fontId="0" fillId="118" borderId="64" xfId="0" applyNumberFormat="1" applyFill="1" applyBorder="1" applyAlignment="1">
      <alignment horizontal="right" indent="1"/>
    </xf>
    <xf numFmtId="173" fontId="0" fillId="118" borderId="65" xfId="0" applyNumberFormat="1" applyFill="1" applyBorder="1" applyAlignment="1">
      <alignment horizontal="right" indent="1"/>
    </xf>
    <xf numFmtId="173" fontId="0" fillId="118" borderId="67" xfId="0" applyNumberFormat="1" applyFill="1" applyBorder="1" applyAlignment="1">
      <alignment horizontal="right" indent="1"/>
    </xf>
    <xf numFmtId="173" fontId="0" fillId="118" borderId="68" xfId="0" applyNumberFormat="1" applyFill="1" applyBorder="1" applyAlignment="1">
      <alignment horizontal="right" indent="1"/>
    </xf>
    <xf numFmtId="173" fontId="0" fillId="118" borderId="69" xfId="0" applyNumberFormat="1" applyFill="1" applyBorder="1" applyAlignment="1">
      <alignment horizontal="right" indent="1"/>
    </xf>
    <xf numFmtId="173" fontId="0" fillId="118" borderId="71" xfId="0" applyNumberFormat="1" applyFill="1" applyBorder="1" applyAlignment="1">
      <alignment horizontal="right" indent="1"/>
    </xf>
    <xf numFmtId="173" fontId="0" fillId="118" borderId="72" xfId="0" applyNumberFormat="1" applyFill="1" applyBorder="1" applyAlignment="1">
      <alignment horizontal="right" indent="1"/>
    </xf>
    <xf numFmtId="0" fontId="0" fillId="118" borderId="114" xfId="0" applyFill="1" applyBorder="1"/>
    <xf numFmtId="0" fontId="0" fillId="118" borderId="111" xfId="0" applyFill="1" applyBorder="1"/>
    <xf numFmtId="0" fontId="0" fillId="118" borderId="105" xfId="0" applyFill="1" applyBorder="1"/>
    <xf numFmtId="173" fontId="5" fillId="118" borderId="76" xfId="7" applyNumberFormat="1" applyFont="1" applyFill="1" applyBorder="1" applyAlignment="1">
      <alignment horizontal="center"/>
    </xf>
    <xf numFmtId="173" fontId="5" fillId="118" borderId="77" xfId="7" applyNumberFormat="1" applyFont="1" applyFill="1" applyBorder="1" applyAlignment="1">
      <alignment horizontal="center"/>
    </xf>
    <xf numFmtId="0" fontId="0" fillId="54" borderId="116" xfId="0" applyFill="1" applyBorder="1" applyAlignment="1">
      <alignment horizontal="right" vertical="top"/>
    </xf>
    <xf numFmtId="0" fontId="5" fillId="3" borderId="83" xfId="2" applyNumberFormat="1" applyFont="1" applyFill="1" applyBorder="1" applyAlignment="1">
      <alignment horizontal="left" vertical="top"/>
    </xf>
    <xf numFmtId="0" fontId="5" fillId="3" borderId="84" xfId="2" applyNumberFormat="1" applyFont="1" applyFill="1" applyBorder="1" applyAlignment="1">
      <alignment horizontal="left" vertical="top"/>
    </xf>
    <xf numFmtId="0" fontId="5" fillId="3" borderId="85" xfId="2" applyNumberFormat="1" applyFont="1" applyFill="1" applyBorder="1" applyAlignment="1">
      <alignment horizontal="left" vertical="top"/>
    </xf>
    <xf numFmtId="172" fontId="5" fillId="38" borderId="83" xfId="1" applyNumberFormat="1" applyFont="1" applyFill="1" applyBorder="1" applyProtection="1"/>
    <xf numFmtId="172" fontId="5" fillId="38" borderId="85" xfId="1" applyNumberFormat="1" applyFont="1" applyFill="1" applyBorder="1" applyProtection="1"/>
    <xf numFmtId="172" fontId="5" fillId="38" borderId="116" xfId="1" applyNumberFormat="1" applyFont="1" applyFill="1" applyBorder="1" applyProtection="1"/>
    <xf numFmtId="172" fontId="5" fillId="38" borderId="117" xfId="1" applyNumberFormat="1" applyFont="1" applyFill="1" applyBorder="1" applyProtection="1"/>
    <xf numFmtId="172" fontId="5" fillId="38" borderId="97" xfId="1" applyNumberFormat="1" applyFont="1" applyFill="1" applyBorder="1" applyProtection="1"/>
    <xf numFmtId="172" fontId="5" fillId="38" borderId="121"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12" xfId="2" applyNumberFormat="1" applyFont="1" applyFill="1" applyBorder="1" applyAlignment="1">
      <alignment vertical="center"/>
    </xf>
    <xf numFmtId="172" fontId="5" fillId="52" borderId="83"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13" xfId="2" applyNumberFormat="1" applyFont="1" applyFill="1" applyBorder="1" applyAlignment="1">
      <alignment vertical="center"/>
    </xf>
    <xf numFmtId="172" fontId="5" fillId="52" borderId="122" xfId="2" applyNumberFormat="1" applyFont="1" applyFill="1" applyBorder="1" applyAlignment="1">
      <alignment vertical="center"/>
    </xf>
    <xf numFmtId="172" fontId="5" fillId="52" borderId="112" xfId="2" applyNumberFormat="1" applyFont="1" applyFill="1" applyBorder="1"/>
    <xf numFmtId="172" fontId="5" fillId="52" borderId="83" xfId="2" applyNumberFormat="1" applyFont="1" applyFill="1" applyBorder="1"/>
    <xf numFmtId="172" fontId="5" fillId="52" borderId="110" xfId="2" applyNumberFormat="1" applyFont="1" applyFill="1" applyBorder="1"/>
    <xf numFmtId="172" fontId="5" fillId="52" borderId="84" xfId="2" applyNumberFormat="1" applyFont="1" applyFill="1" applyBorder="1"/>
    <xf numFmtId="172" fontId="5" fillId="52" borderId="113" xfId="2" applyNumberFormat="1" applyFont="1" applyFill="1" applyBorder="1"/>
    <xf numFmtId="172" fontId="5" fillId="52" borderId="85"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20" xfId="2" applyNumberFormat="1" applyFont="1" applyFill="1" applyBorder="1"/>
    <xf numFmtId="172" fontId="6" fillId="52" borderId="99" xfId="2" applyNumberFormat="1" applyFont="1" applyFill="1" applyBorder="1"/>
    <xf numFmtId="172" fontId="6" fillId="52" borderId="100"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20" xfId="1" applyNumberFormat="1" applyFont="1" applyFill="1" applyBorder="1" applyProtection="1"/>
    <xf numFmtId="172" fontId="5" fillId="38" borderId="99" xfId="1" applyNumberFormat="1" applyFont="1" applyFill="1" applyBorder="1" applyProtection="1"/>
    <xf numFmtId="172" fontId="5" fillId="38" borderId="100"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18"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49" fontId="5" fillId="38" borderId="77" xfId="77" applyNumberFormat="1" applyFont="1" applyFill="1" applyBorder="1" applyProtection="1"/>
    <xf numFmtId="349"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20" xfId="2" applyNumberFormat="1" applyFont="1" applyFill="1" applyBorder="1" applyAlignment="1">
      <alignment vertical="center"/>
    </xf>
    <xf numFmtId="172" fontId="5" fillId="52" borderId="100"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14" xfId="0" applyBorder="1" applyAlignment="1">
      <alignment horizontal="center" wrapText="1"/>
    </xf>
    <xf numFmtId="0" fontId="0" fillId="0" borderId="115" xfId="0" applyBorder="1"/>
    <xf numFmtId="0" fontId="0" fillId="0" borderId="14" xfId="0" applyBorder="1" applyAlignment="1">
      <alignment horizontal="center" wrapText="1"/>
    </xf>
    <xf numFmtId="3" fontId="0" fillId="0" borderId="0" xfId="0" applyNumberFormat="1" applyBorder="1"/>
    <xf numFmtId="0" fontId="0" fillId="0" borderId="97" xfId="0" applyBorder="1" applyAlignment="1">
      <alignment horizontal="center" wrapText="1"/>
    </xf>
    <xf numFmtId="3" fontId="0" fillId="0" borderId="94"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3" xfId="0" applyFont="1" applyFill="1" applyBorder="1" applyAlignment="1">
      <alignment horizontal="left" indent="1"/>
    </xf>
    <xf numFmtId="0" fontId="0" fillId="3" borderId="84" xfId="0" applyFill="1" applyBorder="1" applyAlignment="1">
      <alignment horizontal="left" indent="1"/>
    </xf>
    <xf numFmtId="0" fontId="0" fillId="3" borderId="85" xfId="0" applyFill="1" applyBorder="1" applyAlignment="1">
      <alignment horizontal="left" indent="1"/>
    </xf>
    <xf numFmtId="0" fontId="0" fillId="3" borderId="83" xfId="0" applyFill="1" applyBorder="1" applyAlignment="1">
      <alignment horizontal="left" indent="1"/>
    </xf>
    <xf numFmtId="0" fontId="0" fillId="3" borderId="122" xfId="0" applyFill="1" applyBorder="1" applyAlignment="1">
      <alignment horizontal="left" indent="1"/>
    </xf>
    <xf numFmtId="3" fontId="0" fillId="0" borderId="0" xfId="0" applyNumberFormat="1" applyFill="1" applyBorder="1"/>
    <xf numFmtId="0" fontId="0" fillId="52" borderId="83" xfId="0" applyFill="1" applyBorder="1" applyAlignment="1">
      <alignment horizontal="left" vertical="center" wrapText="1" indent="1"/>
    </xf>
    <xf numFmtId="0" fontId="0" fillId="52" borderId="84" xfId="0" applyFill="1" applyBorder="1" applyAlignment="1">
      <alignment horizontal="left" vertical="center" wrapText="1" indent="1"/>
    </xf>
    <xf numFmtId="0" fontId="0" fillId="52" borderId="85" xfId="0" applyFill="1" applyBorder="1" applyAlignment="1">
      <alignment horizontal="left" vertical="center" wrapText="1" indent="1"/>
    </xf>
    <xf numFmtId="350" fontId="0" fillId="3" borderId="67" xfId="0" applyNumberFormat="1" applyFill="1" applyBorder="1" applyAlignment="1">
      <alignment horizontal="right" vertical="top"/>
    </xf>
    <xf numFmtId="350"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18" xfId="1" applyNumberFormat="1" applyFont="1" applyFill="1" applyBorder="1" applyProtection="1"/>
    <xf numFmtId="172" fontId="5" fillId="3" borderId="64" xfId="1" applyNumberFormat="1" applyFont="1" applyFill="1" applyBorder="1" applyProtection="1"/>
    <xf numFmtId="15" fontId="239" fillId="46" borderId="121" xfId="48236" applyNumberFormat="1" applyFont="1" applyFill="1" applyBorder="1" applyAlignment="1">
      <alignment horizontal="center" vertical="top" wrapText="1"/>
    </xf>
    <xf numFmtId="0" fontId="239" fillId="46" borderId="121" xfId="48236" applyFont="1" applyFill="1" applyBorder="1" applyAlignment="1">
      <alignment vertical="top" wrapText="1"/>
    </xf>
    <xf numFmtId="0" fontId="239" fillId="46" borderId="121" xfId="48236"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1" fontId="0" fillId="0" borderId="0" xfId="0" applyNumberFormat="1"/>
    <xf numFmtId="350" fontId="0" fillId="0" borderId="0" xfId="1" applyNumberFormat="1" applyFont="1"/>
    <xf numFmtId="168" fontId="5" fillId="42" borderId="0" xfId="0" applyNumberFormat="1" applyFont="1" applyFill="1" applyBorder="1" applyAlignment="1">
      <alignment vertical="center"/>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0"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1" xfId="0" applyNumberFormat="1" applyFill="1" applyBorder="1" applyAlignment="1">
      <alignment horizontal="right" vertical="top"/>
    </xf>
    <xf numFmtId="0" fontId="5" fillId="0" borderId="0" xfId="7" applyFont="1" applyFill="1" applyBorder="1" applyAlignment="1">
      <alignment horizontal="left" vertical="center" wrapText="1" indent="1"/>
    </xf>
    <xf numFmtId="0" fontId="22" fillId="0" borderId="0" xfId="0" applyFont="1" applyAlignment="1"/>
    <xf numFmtId="0" fontId="0" fillId="42" borderId="68" xfId="0" applyFill="1" applyBorder="1" applyAlignment="1">
      <alignment horizontal="left" vertical="center" wrapText="1"/>
    </xf>
    <xf numFmtId="0" fontId="0" fillId="0" borderId="90"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04"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18"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257" fillId="47" borderId="0" xfId="90" applyFont="1" applyFill="1" applyBorder="1" applyAlignment="1">
      <alignment horizontal="left"/>
    </xf>
    <xf numFmtId="0" fontId="256" fillId="47" borderId="0" xfId="0" applyFont="1" applyFill="1"/>
    <xf numFmtId="0" fontId="258" fillId="47" borderId="0" xfId="92" applyFont="1" applyFill="1" applyAlignment="1">
      <alignment wrapText="1"/>
    </xf>
    <xf numFmtId="0" fontId="256" fillId="47" borderId="0" xfId="0" applyFont="1" applyFill="1" applyAlignment="1">
      <alignment wrapText="1"/>
    </xf>
    <xf numFmtId="0" fontId="256" fillId="47" borderId="0" xfId="0" applyFont="1" applyFill="1" applyAlignment="1">
      <alignment horizontal="left" indent="1"/>
    </xf>
    <xf numFmtId="0" fontId="257" fillId="47" borderId="114" xfId="90" applyFont="1" applyFill="1" applyBorder="1" applyAlignment="1">
      <alignment horizontal="left"/>
    </xf>
    <xf numFmtId="0" fontId="256" fillId="47" borderId="115" xfId="0" applyFont="1" applyFill="1" applyBorder="1" applyAlignment="1">
      <alignment wrapText="1"/>
    </xf>
    <xf numFmtId="0" fontId="257" fillId="47" borderId="14" xfId="90" applyFont="1" applyFill="1" applyBorder="1" applyAlignment="1">
      <alignment horizontal="left"/>
    </xf>
    <xf numFmtId="0" fontId="256" fillId="47" borderId="0" xfId="0" applyFont="1" applyFill="1" applyBorder="1" applyAlignment="1">
      <alignment wrapText="1"/>
    </xf>
    <xf numFmtId="0" fontId="256" fillId="47" borderId="15" xfId="0" applyFont="1" applyFill="1" applyBorder="1" applyAlignment="1">
      <alignment wrapText="1"/>
    </xf>
    <xf numFmtId="0" fontId="257" fillId="47" borderId="97" xfId="90" applyFont="1" applyFill="1" applyBorder="1" applyAlignment="1">
      <alignment horizontal="left"/>
    </xf>
    <xf numFmtId="0" fontId="256" fillId="47" borderId="94" xfId="0" applyFont="1" applyFill="1" applyBorder="1" applyAlignment="1">
      <alignment wrapText="1"/>
    </xf>
    <xf numFmtId="0" fontId="256" fillId="47" borderId="98" xfId="0" applyFont="1" applyFill="1" applyBorder="1" applyAlignment="1">
      <alignment wrapText="1"/>
    </xf>
    <xf numFmtId="0" fontId="257" fillId="47" borderId="25" xfId="90" applyNumberFormat="1" applyFont="1" applyFill="1" applyBorder="1" applyAlignment="1">
      <alignment horizontal="left" indent="1"/>
    </xf>
    <xf numFmtId="0" fontId="257" fillId="47" borderId="25" xfId="90" applyFont="1" applyFill="1" applyBorder="1" applyAlignment="1">
      <alignment horizontal="left"/>
    </xf>
    <xf numFmtId="0" fontId="257" fillId="47" borderId="0" xfId="90" applyNumberFormat="1" applyFont="1" applyFill="1" applyBorder="1" applyAlignment="1">
      <alignment horizontal="left" indent="1"/>
    </xf>
    <xf numFmtId="0" fontId="259" fillId="47" borderId="94" xfId="90" applyNumberFormat="1" applyFont="1" applyFill="1" applyBorder="1" applyAlignment="1">
      <alignment horizontal="left" indent="1"/>
    </xf>
    <xf numFmtId="0" fontId="257" fillId="47" borderId="94" xfId="90" applyFont="1" applyFill="1" applyBorder="1" applyAlignment="1">
      <alignment horizontal="left"/>
    </xf>
    <xf numFmtId="0" fontId="257" fillId="47" borderId="95" xfId="90" applyFont="1" applyFill="1" applyBorder="1" applyAlignment="1">
      <alignment horizontal="left"/>
    </xf>
    <xf numFmtId="0" fontId="256" fillId="47" borderId="25" xfId="0" applyFont="1" applyFill="1" applyBorder="1" applyAlignment="1">
      <alignment horizontal="left" indent="1"/>
    </xf>
    <xf numFmtId="0" fontId="257" fillId="47" borderId="0" xfId="90" applyFont="1" applyFill="1" applyBorder="1" applyAlignment="1">
      <alignment horizontal="left" indent="1"/>
    </xf>
    <xf numFmtId="0" fontId="257" fillId="47" borderId="94" xfId="90" applyFont="1" applyFill="1" applyBorder="1" applyAlignment="1">
      <alignment horizontal="left" indent="1"/>
    </xf>
    <xf numFmtId="0" fontId="257" fillId="47" borderId="28" xfId="90" applyFont="1" applyFill="1" applyBorder="1" applyAlignment="1">
      <alignment horizontal="left"/>
    </xf>
    <xf numFmtId="0" fontId="256" fillId="47" borderId="57" xfId="0" applyFont="1" applyFill="1" applyBorder="1"/>
    <xf numFmtId="0" fontId="257" fillId="47" borderId="1" xfId="90" applyFont="1" applyFill="1" applyBorder="1" applyAlignment="1">
      <alignment horizontal="left"/>
    </xf>
    <xf numFmtId="0" fontId="257" fillId="47" borderId="13" xfId="90" applyFont="1" applyFill="1" applyBorder="1" applyAlignment="1">
      <alignment horizontal="left"/>
    </xf>
    <xf numFmtId="0" fontId="257" fillId="47" borderId="25" xfId="90" applyFont="1" applyFill="1" applyBorder="1" applyAlignment="1">
      <alignment horizontal="left" indent="1"/>
    </xf>
    <xf numFmtId="0" fontId="260" fillId="47" borderId="28" xfId="90" applyFont="1" applyFill="1" applyBorder="1" applyAlignment="1">
      <alignment horizontal="left"/>
    </xf>
    <xf numFmtId="0" fontId="261" fillId="47" borderId="57" xfId="90" applyFont="1" applyFill="1" applyBorder="1" applyAlignment="1">
      <alignment horizontal="left"/>
    </xf>
    <xf numFmtId="0" fontId="260" fillId="47" borderId="14" xfId="90" applyFont="1" applyFill="1" applyBorder="1" applyAlignment="1">
      <alignment horizontal="left"/>
    </xf>
    <xf numFmtId="0" fontId="261" fillId="47" borderId="0" xfId="90" applyFont="1" applyFill="1" applyBorder="1" applyAlignment="1">
      <alignment horizontal="left"/>
    </xf>
    <xf numFmtId="0" fontId="260" fillId="47" borderId="1" xfId="90" applyFont="1" applyFill="1" applyBorder="1" applyAlignment="1">
      <alignment horizontal="left"/>
    </xf>
    <xf numFmtId="0" fontId="261" fillId="47" borderId="13" xfId="90" applyFont="1" applyFill="1" applyBorder="1" applyAlignment="1">
      <alignment horizontal="left"/>
    </xf>
    <xf numFmtId="0" fontId="257" fillId="47" borderId="57" xfId="90" applyFont="1" applyFill="1" applyBorder="1" applyAlignment="1">
      <alignment horizontal="left"/>
    </xf>
    <xf numFmtId="0" fontId="256" fillId="47" borderId="131" xfId="0" applyFont="1" applyFill="1" applyBorder="1" applyAlignment="1">
      <alignment wrapText="1"/>
    </xf>
    <xf numFmtId="0" fontId="5" fillId="0" borderId="30" xfId="7" applyFont="1" applyBorder="1" applyAlignment="1">
      <alignment horizontal="center"/>
    </xf>
    <xf numFmtId="0" fontId="5" fillId="46" borderId="30" xfId="7" applyFont="1" applyFill="1" applyBorder="1" applyAlignment="1">
      <alignment horizontal="center"/>
    </xf>
    <xf numFmtId="0" fontId="3" fillId="0" borderId="114" xfId="0" applyFont="1" applyBorder="1" applyAlignment="1">
      <alignment horizontal="left" indent="1"/>
    </xf>
    <xf numFmtId="0" fontId="0" fillId="0" borderId="131" xfId="0" applyBorder="1"/>
    <xf numFmtId="1" fontId="3" fillId="2" borderId="30" xfId="0" applyNumberFormat="1" applyFont="1" applyFill="1" applyBorder="1" applyAlignment="1">
      <alignment horizontal="center" vertical="center"/>
    </xf>
    <xf numFmtId="10" fontId="0" fillId="0" borderId="30" xfId="0" applyNumberFormat="1" applyBorder="1" applyAlignment="1">
      <alignment horizontal="center" vertical="center"/>
    </xf>
    <xf numFmtId="0" fontId="0" fillId="0" borderId="131" xfId="0" applyFill="1" applyBorder="1"/>
    <xf numFmtId="164" fontId="0" fillId="0" borderId="0" xfId="0" applyNumberFormat="1" applyAlignment="1">
      <alignment horizontal="left" vertical="top"/>
    </xf>
    <xf numFmtId="164" fontId="0" fillId="3" borderId="65" xfId="0" applyNumberFormat="1" applyFill="1" applyBorder="1" applyAlignment="1">
      <alignment horizontal="right" vertical="top"/>
    </xf>
    <xf numFmtId="164" fontId="0" fillId="3" borderId="68" xfId="0" applyNumberFormat="1" applyFill="1" applyBorder="1" applyAlignment="1">
      <alignment horizontal="right" vertical="top"/>
    </xf>
    <xf numFmtId="164" fontId="0" fillId="3" borderId="74" xfId="0" applyNumberFormat="1" applyFill="1" applyBorder="1" applyAlignment="1">
      <alignment horizontal="right" vertical="top"/>
    </xf>
    <xf numFmtId="164" fontId="3" fillId="52" borderId="77" xfId="0" applyNumberFormat="1" applyFont="1" applyFill="1" applyBorder="1" applyAlignment="1">
      <alignment horizontal="right" vertical="top"/>
    </xf>
    <xf numFmtId="43" fontId="0" fillId="0" borderId="0" xfId="0" applyNumberFormat="1" applyAlignment="1">
      <alignment horizontal="left" vertical="top"/>
    </xf>
    <xf numFmtId="0" fontId="0" fillId="118" borderId="25" xfId="0" applyFill="1" applyBorder="1"/>
    <xf numFmtId="43" fontId="0" fillId="0" borderId="0" xfId="0" applyNumberFormat="1" applyFill="1" applyAlignment="1">
      <alignment horizontal="left" vertical="top"/>
    </xf>
    <xf numFmtId="43" fontId="0" fillId="0" borderId="0" xfId="0" quotePrefix="1" applyNumberFormat="1" applyAlignment="1">
      <alignment horizontal="left" vertical="top"/>
    </xf>
    <xf numFmtId="172" fontId="243" fillId="117" borderId="0" xfId="0" applyNumberFormat="1" applyFont="1" applyFill="1" applyAlignment="1">
      <alignment horizontal="left" vertical="top"/>
    </xf>
    <xf numFmtId="173" fontId="0" fillId="52" borderId="64" xfId="0" applyNumberFormat="1" applyFill="1" applyBorder="1" applyAlignment="1">
      <alignment horizontal="right" vertical="top"/>
    </xf>
    <xf numFmtId="172" fontId="0" fillId="51" borderId="76" xfId="0" applyNumberFormat="1" applyFont="1" applyFill="1" applyBorder="1" applyAlignment="1">
      <alignment horizontal="right" vertical="center"/>
    </xf>
    <xf numFmtId="0" fontId="0" fillId="3" borderId="108" xfId="0" applyFill="1" applyBorder="1" applyAlignment="1">
      <alignment horizontal="left" vertical="center" wrapText="1" indent="1"/>
    </xf>
    <xf numFmtId="0" fontId="0" fillId="3" borderId="109"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110"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05" xfId="0" applyFill="1" applyBorder="1" applyAlignment="1">
      <alignment horizontal="left" vertical="center" wrapText="1" indent="1"/>
    </xf>
    <xf numFmtId="3" fontId="0" fillId="0" borderId="10" xfId="0" applyNumberFormat="1" applyBorder="1" applyAlignment="1">
      <alignment horizontal="center" vertical="center" wrapText="1"/>
    </xf>
    <xf numFmtId="0" fontId="0" fillId="0" borderId="32" xfId="0" applyBorder="1" applyAlignment="1">
      <alignment horizontal="center" vertical="center" wrapText="1"/>
    </xf>
    <xf numFmtId="0" fontId="0" fillId="0" borderId="11" xfId="0" applyBorder="1" applyAlignment="1">
      <alignment horizontal="center" vertical="center" wrapText="1"/>
    </xf>
    <xf numFmtId="0" fontId="0" fillId="3" borderId="112" xfId="0" applyFill="1" applyBorder="1" applyAlignment="1">
      <alignment horizontal="left" vertical="center" wrapText="1" indent="1"/>
    </xf>
    <xf numFmtId="0" fontId="0" fillId="3" borderId="89" xfId="0" applyFill="1" applyBorder="1" applyAlignment="1">
      <alignment horizontal="left" vertical="center" wrapText="1" indent="1"/>
    </xf>
    <xf numFmtId="0" fontId="0" fillId="3" borderId="107" xfId="0" applyFill="1" applyBorder="1" applyAlignment="1">
      <alignment horizontal="left" vertical="center" wrapText="1" indent="1"/>
    </xf>
    <xf numFmtId="0" fontId="0" fillId="0" borderId="10"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12"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110" xfId="0" applyBorder="1" applyAlignment="1">
      <alignment horizontal="left"/>
    </xf>
    <xf numFmtId="0" fontId="0" fillId="0" borderId="111" xfId="0" applyBorder="1" applyAlignment="1">
      <alignment horizontal="left"/>
    </xf>
    <xf numFmtId="0" fontId="0" fillId="0" borderId="87" xfId="0" applyBorder="1" applyAlignment="1">
      <alignment horizontal="left"/>
    </xf>
    <xf numFmtId="0" fontId="0" fillId="0" borderId="108" xfId="0" applyBorder="1" applyAlignment="1">
      <alignment horizontal="left"/>
    </xf>
    <xf numFmtId="0" fontId="0" fillId="0" borderId="109" xfId="0" applyBorder="1" applyAlignment="1">
      <alignment horizontal="left"/>
    </xf>
    <xf numFmtId="0" fontId="0" fillId="0" borderId="92" xfId="0" applyBorder="1" applyAlignment="1">
      <alignment horizontal="left"/>
    </xf>
    <xf numFmtId="0" fontId="0" fillId="0" borderId="106" xfId="0" applyBorder="1" applyAlignment="1">
      <alignment horizontal="center"/>
    </xf>
    <xf numFmtId="0" fontId="0" fillId="0" borderId="107" xfId="0" applyBorder="1" applyAlignment="1">
      <alignment horizontal="center"/>
    </xf>
    <xf numFmtId="0" fontId="0" fillId="0" borderId="104" xfId="0" applyBorder="1" applyAlignment="1">
      <alignment horizontal="center"/>
    </xf>
    <xf numFmtId="0" fontId="0" fillId="0" borderId="105" xfId="0"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53" borderId="0" xfId="0" applyFill="1" applyAlignment="1">
      <alignment horizontal="left" wrapText="1"/>
    </xf>
    <xf numFmtId="3" fontId="0" fillId="0" borderId="11" xfId="0" applyNumberFormat="1" applyBorder="1" applyAlignment="1">
      <alignment horizontal="center" vertical="center" wrapTex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353" fontId="0" fillId="3" borderId="0" xfId="0" applyNumberFormat="1" applyFont="1" applyFill="1" applyAlignment="1">
      <alignment horizontal="left" vertical="top" indent="1"/>
    </xf>
    <xf numFmtId="0" fontId="0" fillId="53" borderId="119"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21" xfId="0" applyNumberFormat="1" applyFont="1" applyFill="1" applyBorder="1" applyAlignment="1">
      <alignment horizontal="center" vertical="top" wrapText="1"/>
    </xf>
  </cellXfs>
  <cellStyles count="51685">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73">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600-000004000000}"/>
            </a:ext>
          </a:extLst>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900-000004000000}"/>
            </a:ext>
          </a:extLst>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taylorjo\AppData\Local\Microsoft\Windows\INetCache\Content.Outlook\TA0MFAPA\Pension%20RIGs%20data%20tables%20v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wshare/ensites/reg/licfin/RFPR%201920/01_Consol/01_Revisions/SPD_rfpr_reporting_pack_template_version_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Change log"/>
      <sheetName val="R1 - RoRE"/>
      <sheetName val="R2 - Revenue"/>
      <sheetName val="R3 - Rec to totex"/>
      <sheetName val="R4 - Totex"/>
      <sheetName val="R5 - Output Incentives"/>
      <sheetName val="R6 - Innovation"/>
      <sheetName val="R7 - Financing"/>
      <sheetName val="R7a - Financing input"/>
      <sheetName val="R8 - Net Debt"/>
      <sheetName val="R8a - Net Debt input"/>
      <sheetName val="R9 - RAV"/>
      <sheetName val="R10 - Tax"/>
      <sheetName val="R11 - Dividends"/>
      <sheetName val="R12 - Pensions"/>
      <sheetName val="R13 - Other Activities "/>
    </sheetNames>
    <sheetDataSet>
      <sheetData sheetId="0"/>
      <sheetData sheetId="1">
        <row r="25">
          <cell r="E25">
            <v>295.58291399999996</v>
          </cell>
        </row>
      </sheetData>
      <sheetData sheetId="2"/>
      <sheetData sheetId="3"/>
      <sheetData sheetId="4"/>
      <sheetData sheetId="5"/>
      <sheetData sheetId="6"/>
      <sheetData sheetId="7"/>
      <sheetData sheetId="8"/>
      <sheetData sheetId="9"/>
      <sheetData sheetId="10"/>
      <sheetData sheetId="11"/>
      <sheetData sheetId="12"/>
      <sheetData sheetId="13"/>
      <sheetData sheetId="14">
        <row r="43">
          <cell r="D43">
            <v>3.7574999999999997E-2</v>
          </cell>
        </row>
      </sheetData>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86552/Forecomp_May_2020.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5"/>
  <sheetViews>
    <sheetView showGridLines="0" tabSelected="1" zoomScale="80" zoomScaleNormal="80" zoomScaleSheetLayoutView="90" workbookViewId="0">
      <pane ySplit="3" topLeftCell="A4" activePane="bottomLeft" state="frozen"/>
      <selection activeCell="B75" sqref="A1:XFD1048576"/>
      <selection pane="bottomLeft" activeCell="A4" sqref="A4"/>
    </sheetView>
  </sheetViews>
  <sheetFormatPr defaultRowHeight="12.75"/>
  <cols>
    <col min="1" max="1" width="8.375" customWidth="1"/>
    <col min="2" max="2" width="27.125" customWidth="1"/>
    <col min="3" max="6" width="14.125" customWidth="1"/>
    <col min="7" max="7" width="14.125" style="212" customWidth="1"/>
    <col min="8" max="11" width="14.125" customWidth="1"/>
  </cols>
  <sheetData>
    <row r="1" spans="1:11" s="29" customFormat="1" ht="20.25">
      <c r="A1" s="895" t="s">
        <v>302</v>
      </c>
      <c r="B1" s="896"/>
      <c r="C1" s="896"/>
      <c r="D1" s="897"/>
      <c r="E1" s="898"/>
      <c r="F1" s="896"/>
      <c r="G1" s="899"/>
      <c r="H1" s="896"/>
      <c r="I1" s="896"/>
      <c r="J1" s="896"/>
      <c r="K1" s="896"/>
    </row>
    <row r="2" spans="1:11" s="29" customFormat="1" ht="20.25">
      <c r="A2" s="895" t="str">
        <f>'RFPR cover'!C5</f>
        <v>SPT</v>
      </c>
      <c r="B2" s="896"/>
      <c r="C2" s="896"/>
      <c r="D2" s="898"/>
      <c r="E2" s="898"/>
      <c r="F2" s="896"/>
      <c r="G2" s="899"/>
      <c r="H2" s="896"/>
      <c r="I2" s="896"/>
      <c r="J2" s="896"/>
      <c r="K2" s="896"/>
    </row>
    <row r="3" spans="1:11" s="29" customFormat="1" ht="20.25">
      <c r="A3" s="895">
        <f>'RFPR cover'!C7</f>
        <v>2020</v>
      </c>
      <c r="B3" s="896"/>
      <c r="C3" s="896"/>
      <c r="D3" s="898"/>
      <c r="E3" s="898"/>
      <c r="F3" s="896"/>
      <c r="G3" s="899"/>
      <c r="H3" s="896"/>
      <c r="I3" s="896"/>
      <c r="J3" s="896"/>
      <c r="K3" s="896"/>
    </row>
    <row r="4" spans="1:11" ht="14.25">
      <c r="A4" s="28"/>
      <c r="B4" s="28"/>
      <c r="C4" s="28"/>
      <c r="D4" s="28"/>
      <c r="E4" s="28"/>
      <c r="H4" s="10"/>
      <c r="I4" s="10"/>
      <c r="J4" s="10"/>
    </row>
    <row r="5" spans="1:11" ht="13.5" customHeight="1">
      <c r="A5" s="28"/>
      <c r="B5" s="76" t="s">
        <v>59</v>
      </c>
      <c r="C5" s="43" t="s">
        <v>57</v>
      </c>
      <c r="D5" s="329"/>
      <c r="E5" s="19"/>
      <c r="F5" s="11"/>
      <c r="G5" s="539" t="s">
        <v>0</v>
      </c>
      <c r="H5" s="10"/>
      <c r="I5" s="10"/>
      <c r="J5" s="10"/>
    </row>
    <row r="6" spans="1:11" ht="13.5" customHeight="1">
      <c r="A6" s="28"/>
      <c r="B6" s="76" t="s">
        <v>185</v>
      </c>
      <c r="C6" s="81" t="str">
        <f>INDEX(Data!$A$73:$A$100,MATCH($C$5,Data!$B$73:$B$100,0),0)&amp;"1"</f>
        <v>ET1</v>
      </c>
      <c r="D6" s="19"/>
      <c r="E6" s="19"/>
      <c r="F6" s="9"/>
      <c r="G6" s="539" t="s">
        <v>1</v>
      </c>
      <c r="H6" s="10"/>
      <c r="I6" s="10"/>
      <c r="J6" s="10"/>
    </row>
    <row r="7" spans="1:11" ht="25.5">
      <c r="A7" s="28"/>
      <c r="B7" s="77" t="s">
        <v>184</v>
      </c>
      <c r="C7" s="82">
        <v>2020</v>
      </c>
      <c r="D7" s="18"/>
      <c r="E7" s="19"/>
      <c r="F7" s="8"/>
      <c r="G7" s="540" t="s">
        <v>2</v>
      </c>
      <c r="H7" s="10"/>
      <c r="I7" s="10"/>
      <c r="J7" s="10"/>
    </row>
    <row r="8" spans="1:11" ht="14.25">
      <c r="A8" s="28"/>
      <c r="B8" s="76" t="s">
        <v>34</v>
      </c>
      <c r="C8" s="83"/>
      <c r="D8" s="19"/>
      <c r="E8" s="18"/>
      <c r="F8" s="7"/>
      <c r="G8" s="539" t="s">
        <v>3</v>
      </c>
      <c r="H8" s="10"/>
      <c r="I8" s="10"/>
      <c r="J8" s="10"/>
    </row>
    <row r="9" spans="1:11" ht="14.25">
      <c r="A9" s="28"/>
      <c r="B9" s="76" t="s">
        <v>35</v>
      </c>
      <c r="C9" s="84"/>
      <c r="D9" s="18"/>
      <c r="E9" s="18"/>
      <c r="F9" s="6"/>
      <c r="G9" s="539" t="s">
        <v>4</v>
      </c>
      <c r="H9" s="10"/>
      <c r="I9" s="10"/>
      <c r="J9" s="10"/>
    </row>
    <row r="10" spans="1:11" ht="14.25">
      <c r="A10" s="28"/>
      <c r="B10" s="76" t="s">
        <v>67</v>
      </c>
      <c r="C10" s="85">
        <f>SUMIF(Data!$B$72:$B$100,C5,Data!$C$72:$C$100)</f>
        <v>7.0000000000000007E-2</v>
      </c>
      <c r="D10" s="18"/>
      <c r="E10" s="18"/>
      <c r="F10" s="5"/>
      <c r="G10" s="539" t="s">
        <v>5</v>
      </c>
      <c r="H10" s="10"/>
      <c r="I10" s="10"/>
      <c r="J10" s="10"/>
    </row>
    <row r="11" spans="1:11" ht="14.25">
      <c r="A11" s="28"/>
      <c r="B11" s="76" t="s">
        <v>68</v>
      </c>
      <c r="C11" s="86">
        <f>SUMIF(Data!$B$72:$B$100,C5,Data!$D$72:$D$100)</f>
        <v>0.5</v>
      </c>
      <c r="D11" s="19"/>
      <c r="E11" s="19"/>
      <c r="F11" s="4"/>
      <c r="G11" s="539" t="s">
        <v>6</v>
      </c>
      <c r="H11" s="10"/>
      <c r="I11" s="10"/>
      <c r="J11" s="10"/>
    </row>
    <row r="12" spans="1:11">
      <c r="A12" s="28"/>
      <c r="B12" s="76" t="s">
        <v>112</v>
      </c>
      <c r="C12" s="85">
        <f>SUMIF(Data!$B$72:$B$100,C5,Data!$E$72:$E$100)</f>
        <v>0.55000000000000004</v>
      </c>
      <c r="D12" s="18"/>
      <c r="E12" s="18"/>
      <c r="F12" s="18"/>
      <c r="G12" s="541"/>
    </row>
    <row r="13" spans="1:11">
      <c r="A13" s="28"/>
      <c r="B13" s="76" t="s">
        <v>491</v>
      </c>
      <c r="C13" s="81">
        <f>INDEX(Data!$G$73:$G$100,MATCH($C$5,Data!$B$73:$B$100,0),0)</f>
        <v>2014</v>
      </c>
      <c r="D13" s="18"/>
      <c r="E13" s="18"/>
      <c r="F13" s="75" t="s">
        <v>187</v>
      </c>
    </row>
    <row r="14" spans="1:11">
      <c r="A14" s="28"/>
      <c r="B14" s="78" t="s">
        <v>181</v>
      </c>
      <c r="C14" s="81" t="str">
        <f>INDEX(Data!$H$73:$H$100,MATCH($C$5,Data!$B$73:$B$100,0),0)</f>
        <v>£m 09/10</v>
      </c>
      <c r="D14" s="18"/>
      <c r="E14" s="18"/>
      <c r="F14" s="88">
        <v>0.1</v>
      </c>
      <c r="G14" s="541"/>
    </row>
    <row r="15" spans="1:11">
      <c r="A15" s="28"/>
      <c r="B15" s="18"/>
      <c r="C15" s="18"/>
      <c r="D15" s="18"/>
      <c r="E15" s="18"/>
      <c r="F15" s="18"/>
      <c r="G15" s="541"/>
    </row>
    <row r="85" spans="1:1">
      <c r="A85" s="203"/>
    </row>
  </sheetData>
  <pageMargins left="0.70866141732283472" right="0.70866141732283472" top="0.74803149606299213" bottom="0.74803149606299213" header="0.31496062992125984" footer="0.31496062992125984"/>
  <pageSetup scale="49" orientation="portrait" r:id="rId1"/>
  <headerFooter>
    <oddFooter>&amp;C&amp;1#&amp;"Calibri"&amp;12&amp;K008000Internal Use</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Data!$B$73:$B$100</xm:f>
          </x14:formula1>
          <xm:sqref>C5</xm:sqref>
        </x14:dataValidation>
        <x14:dataValidation type="list" allowBlank="1" showInputMessage="1" showErrorMessage="1" xr:uid="{00000000-0002-0000-0000-000001000000}">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99CCFF"/>
  </sheetPr>
  <dimension ref="A1:T268"/>
  <sheetViews>
    <sheetView showGridLines="0" zoomScale="85" zoomScaleNormal="85" workbookViewId="0">
      <pane ySplit="4" topLeftCell="A5" activePane="bottomLeft" state="frozen"/>
      <selection activeCell="B75" sqref="A1:XFD1048576"/>
      <selection pane="bottomLeft" activeCell="A5" sqref="A5"/>
    </sheetView>
  </sheetViews>
  <sheetFormatPr defaultRowHeight="12.75"/>
  <cols>
    <col min="1" max="1" width="8.375" customWidth="1"/>
    <col min="2" max="2" width="35.125" customWidth="1"/>
    <col min="8" max="8" width="10.125" bestFit="1" customWidth="1"/>
    <col min="14" max="14" width="9" customWidth="1"/>
  </cols>
  <sheetData>
    <row r="1" spans="1:14" ht="20.25">
      <c r="A1" s="900" t="s">
        <v>356</v>
      </c>
      <c r="B1" s="929"/>
      <c r="C1" s="929"/>
      <c r="D1" s="929"/>
      <c r="E1" s="929"/>
      <c r="F1" s="929"/>
      <c r="G1" s="929"/>
      <c r="H1" s="929"/>
      <c r="I1" s="929"/>
      <c r="J1" s="929"/>
      <c r="K1" s="929"/>
      <c r="L1" s="929"/>
      <c r="M1" s="929"/>
      <c r="N1" s="901"/>
    </row>
    <row r="2" spans="1:14" ht="20.25">
      <c r="A2" s="902" t="str">
        <f>'RFPR cover'!C5</f>
        <v>SPT</v>
      </c>
      <c r="B2" s="903"/>
      <c r="C2" s="903"/>
      <c r="D2" s="903"/>
      <c r="E2" s="903"/>
      <c r="F2" s="903"/>
      <c r="G2" s="903"/>
      <c r="H2" s="903"/>
      <c r="I2" s="903"/>
      <c r="J2" s="903"/>
      <c r="K2" s="903"/>
      <c r="L2" s="903"/>
      <c r="M2" s="903"/>
      <c r="N2" s="904"/>
    </row>
    <row r="3" spans="1:14" ht="20.25">
      <c r="A3" s="905">
        <f>'RFPR cover'!C7</f>
        <v>2020</v>
      </c>
      <c r="B3" s="906"/>
      <c r="C3" s="906"/>
      <c r="D3" s="906"/>
      <c r="E3" s="906"/>
      <c r="F3" s="906"/>
      <c r="G3" s="906"/>
      <c r="H3" s="906"/>
      <c r="I3" s="906"/>
      <c r="J3" s="906"/>
      <c r="K3" s="906"/>
      <c r="L3" s="906"/>
      <c r="M3" s="906"/>
      <c r="N3" s="907"/>
    </row>
    <row r="6" spans="1:14">
      <c r="A6" s="28"/>
      <c r="B6" s="930">
        <v>2018</v>
      </c>
      <c r="C6" s="931" t="s">
        <v>60</v>
      </c>
      <c r="D6" s="18"/>
      <c r="E6" s="18"/>
      <c r="F6" s="834"/>
      <c r="G6" s="18"/>
    </row>
    <row r="7" spans="1:14">
      <c r="A7" s="28"/>
      <c r="B7" s="930">
        <v>2019</v>
      </c>
      <c r="C7" s="931" t="s">
        <v>61</v>
      </c>
      <c r="D7" s="18"/>
      <c r="E7" s="18"/>
      <c r="F7" s="18"/>
      <c r="G7" s="18"/>
    </row>
    <row r="8" spans="1:14">
      <c r="A8" s="28"/>
      <c r="B8" s="930">
        <v>2020</v>
      </c>
      <c r="C8" s="931" t="s">
        <v>62</v>
      </c>
      <c r="D8" s="19"/>
      <c r="E8" s="19"/>
      <c r="F8" s="19"/>
      <c r="G8" s="19"/>
    </row>
    <row r="9" spans="1:14">
      <c r="A9" s="28"/>
      <c r="B9" s="930">
        <v>2021</v>
      </c>
      <c r="C9" s="931" t="s">
        <v>63</v>
      </c>
      <c r="D9" s="18"/>
      <c r="E9" s="18"/>
      <c r="F9" s="18"/>
      <c r="G9" s="18"/>
    </row>
    <row r="10" spans="1:14">
      <c r="A10" s="28"/>
      <c r="B10" s="930">
        <v>2022</v>
      </c>
      <c r="C10" s="931" t="s">
        <v>64</v>
      </c>
      <c r="D10" s="18"/>
      <c r="E10" s="18"/>
      <c r="F10" s="18"/>
    </row>
    <row r="11" spans="1:14">
      <c r="A11" s="28"/>
      <c r="B11" s="930">
        <v>2023</v>
      </c>
      <c r="C11" s="931" t="s">
        <v>65</v>
      </c>
      <c r="D11" s="19"/>
      <c r="E11" s="19"/>
      <c r="F11" s="19"/>
    </row>
    <row r="12" spans="1:14">
      <c r="A12" s="28"/>
      <c r="B12" s="18"/>
      <c r="C12" s="18"/>
      <c r="D12" s="18"/>
      <c r="E12" s="18"/>
      <c r="F12" s="18"/>
    </row>
    <row r="13" spans="1:14" ht="75" customHeight="1">
      <c r="A13" s="28"/>
      <c r="B13" s="542" t="s">
        <v>36</v>
      </c>
      <c r="C13" s="543" t="s">
        <v>37</v>
      </c>
      <c r="D13" s="543" t="s">
        <v>188</v>
      </c>
      <c r="E13" s="543" t="s">
        <v>38</v>
      </c>
      <c r="F13" s="543" t="s">
        <v>39</v>
      </c>
      <c r="G13" s="544" t="s">
        <v>315</v>
      </c>
    </row>
    <row r="14" spans="1:14">
      <c r="A14" s="28"/>
      <c r="B14" s="161" t="s">
        <v>71</v>
      </c>
      <c r="C14" s="168">
        <v>2010</v>
      </c>
      <c r="D14" s="162" t="s">
        <v>623</v>
      </c>
      <c r="E14" s="363">
        <v>215.767</v>
      </c>
      <c r="F14" s="488">
        <v>221.75</v>
      </c>
      <c r="G14" s="163">
        <v>0.28000000000000003</v>
      </c>
      <c r="H14" s="835"/>
      <c r="J14" s="836"/>
    </row>
    <row r="15" spans="1:14">
      <c r="A15" s="28"/>
      <c r="B15" s="164" t="s">
        <v>72</v>
      </c>
      <c r="C15" s="169">
        <v>2011</v>
      </c>
      <c r="D15" s="165" t="s">
        <v>623</v>
      </c>
      <c r="E15" s="364">
        <v>226.47499999999999</v>
      </c>
      <c r="F15" s="489">
        <v>233.45</v>
      </c>
      <c r="G15" s="166">
        <v>0.28000000000000003</v>
      </c>
      <c r="H15" s="835"/>
      <c r="J15" s="836"/>
    </row>
    <row r="16" spans="1:14" ht="14.25" customHeight="1">
      <c r="A16" s="28"/>
      <c r="B16" s="164" t="s">
        <v>73</v>
      </c>
      <c r="C16" s="169">
        <v>2012</v>
      </c>
      <c r="D16" s="165" t="s">
        <v>623</v>
      </c>
      <c r="E16" s="364">
        <v>237.34200000000001</v>
      </c>
      <c r="F16" s="489">
        <v>241.65</v>
      </c>
      <c r="G16" s="166">
        <v>0.26</v>
      </c>
      <c r="H16" s="835"/>
      <c r="J16" s="836"/>
    </row>
    <row r="17" spans="2:10">
      <c r="B17" s="164" t="s">
        <v>74</v>
      </c>
      <c r="C17" s="169">
        <v>2013</v>
      </c>
      <c r="D17" s="165" t="s">
        <v>623</v>
      </c>
      <c r="E17" s="364">
        <v>244.67500000000001</v>
      </c>
      <c r="F17" s="489">
        <v>249.1</v>
      </c>
      <c r="G17" s="166">
        <v>0.24</v>
      </c>
      <c r="H17" s="835"/>
      <c r="J17" s="836"/>
    </row>
    <row r="18" spans="2:10">
      <c r="B18" s="164" t="s">
        <v>75</v>
      </c>
      <c r="C18" s="169">
        <v>2014</v>
      </c>
      <c r="D18" s="165" t="s">
        <v>623</v>
      </c>
      <c r="E18" s="364">
        <v>251.733</v>
      </c>
      <c r="F18" s="489">
        <v>255.25</v>
      </c>
      <c r="G18" s="166">
        <v>0.23</v>
      </c>
      <c r="H18" s="835"/>
      <c r="I18" s="508"/>
      <c r="J18" s="836"/>
    </row>
    <row r="19" spans="2:10">
      <c r="B19" s="164" t="s">
        <v>76</v>
      </c>
      <c r="C19" s="169">
        <v>2015</v>
      </c>
      <c r="D19" s="165" t="s">
        <v>623</v>
      </c>
      <c r="E19" s="364">
        <v>256.66699999999997</v>
      </c>
      <c r="F19" s="489">
        <v>257.55</v>
      </c>
      <c r="G19" s="166">
        <v>0.21</v>
      </c>
      <c r="H19" s="835"/>
      <c r="I19" s="508"/>
      <c r="J19" s="836"/>
    </row>
    <row r="20" spans="2:10">
      <c r="B20" s="164" t="s">
        <v>77</v>
      </c>
      <c r="C20" s="169">
        <v>2016</v>
      </c>
      <c r="D20" s="165" t="s">
        <v>623</v>
      </c>
      <c r="E20" s="364">
        <v>259.43299999999999</v>
      </c>
      <c r="F20" s="489">
        <v>261.25</v>
      </c>
      <c r="G20" s="166">
        <v>0.2</v>
      </c>
      <c r="H20" s="835"/>
      <c r="I20" s="508"/>
      <c r="J20" s="836"/>
    </row>
    <row r="21" spans="2:10">
      <c r="B21" s="164" t="s">
        <v>78</v>
      </c>
      <c r="C21" s="169">
        <v>2017</v>
      </c>
      <c r="D21" s="165" t="s">
        <v>623</v>
      </c>
      <c r="E21" s="364">
        <v>264.99200000000002</v>
      </c>
      <c r="F21" s="489">
        <v>269.95000000000005</v>
      </c>
      <c r="G21" s="166">
        <v>0.2</v>
      </c>
      <c r="H21" s="835"/>
      <c r="I21" s="508"/>
      <c r="J21" s="836"/>
    </row>
    <row r="22" spans="2:10">
      <c r="B22" s="164" t="s">
        <v>60</v>
      </c>
      <c r="C22" s="169">
        <v>2018</v>
      </c>
      <c r="D22" s="165" t="s">
        <v>623</v>
      </c>
      <c r="E22" s="364">
        <v>274.90800000000002</v>
      </c>
      <c r="F22" s="489">
        <v>279</v>
      </c>
      <c r="G22" s="166">
        <v>0.19</v>
      </c>
      <c r="H22" s="835"/>
      <c r="I22" s="508"/>
      <c r="J22" s="836"/>
    </row>
    <row r="23" spans="2:10">
      <c r="B23" s="491" t="s">
        <v>61</v>
      </c>
      <c r="C23" s="492">
        <v>2019</v>
      </c>
      <c r="D23" s="165" t="s">
        <v>623</v>
      </c>
      <c r="E23" s="364">
        <v>283.30799999999999</v>
      </c>
      <c r="F23" s="489">
        <v>286.64999999999998</v>
      </c>
      <c r="G23" s="166">
        <v>0.19</v>
      </c>
      <c r="H23" s="835"/>
      <c r="J23" s="836"/>
    </row>
    <row r="24" spans="2:10">
      <c r="B24" s="491" t="s">
        <v>62</v>
      </c>
      <c r="C24" s="492">
        <v>2020</v>
      </c>
      <c r="D24" s="165" t="s">
        <v>623</v>
      </c>
      <c r="E24" s="364">
        <v>290.642</v>
      </c>
      <c r="F24" s="489">
        <v>292.60000000000002</v>
      </c>
      <c r="G24" s="166">
        <v>0.19</v>
      </c>
      <c r="J24" s="836"/>
    </row>
    <row r="25" spans="2:10">
      <c r="B25" s="491" t="s">
        <v>63</v>
      </c>
      <c r="C25" s="492">
        <v>2021</v>
      </c>
      <c r="D25" s="165" t="s">
        <v>624</v>
      </c>
      <c r="E25" s="490">
        <f t="shared" ref="E25:F27" si="0">E24*(1+INDEX($D$43:$J$43,0,MATCH($C25,$D$42:$J$42,0)))</f>
        <v>295.58291399999996</v>
      </c>
      <c r="F25" s="490">
        <f t="shared" si="0"/>
        <v>297.57420000000002</v>
      </c>
      <c r="G25" s="166">
        <v>0.19</v>
      </c>
      <c r="H25" s="835"/>
      <c r="J25" s="836"/>
    </row>
    <row r="26" spans="2:10">
      <c r="B26" s="491" t="s">
        <v>64</v>
      </c>
      <c r="C26" s="492">
        <v>2022</v>
      </c>
      <c r="D26" s="165" t="s">
        <v>624</v>
      </c>
      <c r="E26" s="490">
        <f t="shared" si="0"/>
        <v>301.86405092249998</v>
      </c>
      <c r="F26" s="490">
        <f t="shared" si="0"/>
        <v>303.89765175000002</v>
      </c>
      <c r="G26" s="166">
        <v>0.19</v>
      </c>
      <c r="H26" s="835"/>
      <c r="J26" s="836"/>
    </row>
    <row r="27" spans="2:10">
      <c r="B27" s="491" t="s">
        <v>65</v>
      </c>
      <c r="C27" s="492">
        <v>2023</v>
      </c>
      <c r="D27" s="165" t="s">
        <v>624</v>
      </c>
      <c r="E27" s="490">
        <f t="shared" si="0"/>
        <v>309.63705023375434</v>
      </c>
      <c r="F27" s="490">
        <f t="shared" si="0"/>
        <v>311.72301628256253</v>
      </c>
      <c r="G27" s="166">
        <v>0.19</v>
      </c>
      <c r="H27" s="835"/>
      <c r="J27" s="836"/>
    </row>
    <row r="28" spans="2:10">
      <c r="B28" s="491" t="s">
        <v>201</v>
      </c>
      <c r="C28" s="492">
        <v>2024</v>
      </c>
      <c r="D28" s="165" t="s">
        <v>624</v>
      </c>
      <c r="E28" s="366"/>
      <c r="F28" s="366"/>
      <c r="G28" s="166">
        <v>0.19</v>
      </c>
    </row>
    <row r="29" spans="2:10">
      <c r="B29" s="491" t="s">
        <v>202</v>
      </c>
      <c r="C29" s="492">
        <v>2025</v>
      </c>
      <c r="D29" s="165" t="s">
        <v>624</v>
      </c>
      <c r="E29" s="366"/>
      <c r="F29" s="366"/>
      <c r="G29" s="166">
        <v>0.19</v>
      </c>
    </row>
    <row r="30" spans="2:10">
      <c r="B30" s="493" t="s">
        <v>203</v>
      </c>
      <c r="C30" s="494">
        <v>2026</v>
      </c>
      <c r="D30" s="167" t="s">
        <v>624</v>
      </c>
      <c r="E30" s="365"/>
      <c r="F30" s="365"/>
      <c r="G30" s="166">
        <v>0.19</v>
      </c>
    </row>
    <row r="31" spans="2:10">
      <c r="B31" s="87"/>
      <c r="C31" s="65"/>
      <c r="D31" s="65"/>
      <c r="E31" s="65"/>
      <c r="F31" s="65"/>
    </row>
    <row r="32" spans="2:10">
      <c r="B32" s="87"/>
      <c r="C32" s="333" t="s">
        <v>625</v>
      </c>
      <c r="D32" s="334" t="s">
        <v>625</v>
      </c>
      <c r="E32" s="334" t="s">
        <v>625</v>
      </c>
      <c r="F32" s="334" t="s">
        <v>625</v>
      </c>
      <c r="G32" s="334" t="s">
        <v>625</v>
      </c>
      <c r="H32" s="334" t="s">
        <v>625</v>
      </c>
      <c r="I32" s="334" t="s">
        <v>625</v>
      </c>
      <c r="J32" s="335" t="s">
        <v>624</v>
      </c>
    </row>
    <row r="33" spans="2:13" ht="15.75" customHeight="1">
      <c r="B33" s="286"/>
      <c r="C33" s="89">
        <v>2014</v>
      </c>
      <c r="D33" s="90">
        <f t="shared" ref="D33:J33" si="1">C33+1</f>
        <v>2015</v>
      </c>
      <c r="E33" s="90">
        <f t="shared" si="1"/>
        <v>2016</v>
      </c>
      <c r="F33" s="90">
        <f t="shared" si="1"/>
        <v>2017</v>
      </c>
      <c r="G33" s="90">
        <f t="shared" si="1"/>
        <v>2018</v>
      </c>
      <c r="H33" s="90">
        <f t="shared" si="1"/>
        <v>2019</v>
      </c>
      <c r="I33" s="90">
        <f t="shared" si="1"/>
        <v>2020</v>
      </c>
      <c r="J33" s="310">
        <f t="shared" si="1"/>
        <v>2021</v>
      </c>
    </row>
    <row r="34" spans="2:13" ht="15.75" customHeight="1">
      <c r="B34" s="486" t="s">
        <v>357</v>
      </c>
      <c r="C34" s="484">
        <v>1.1666890673736021</v>
      </c>
      <c r="D34" s="481">
        <v>1.1895563269638081</v>
      </c>
      <c r="E34" s="481">
        <v>1.2023757108362261</v>
      </c>
      <c r="F34" s="481">
        <v>1.2281396135646323</v>
      </c>
      <c r="G34" s="481">
        <v>1.2740965949380583</v>
      </c>
      <c r="H34" s="481">
        <v>1.3130274787154661</v>
      </c>
      <c r="I34" s="482">
        <v>1.3470178479563604</v>
      </c>
      <c r="J34" s="483">
        <v>1.3803565396932804</v>
      </c>
    </row>
    <row r="35" spans="2:13" ht="15.75" customHeight="1">
      <c r="B35" s="487" t="s">
        <v>39</v>
      </c>
      <c r="C35" s="485">
        <v>1.1829890576408812</v>
      </c>
      <c r="D35" s="485">
        <v>1.1936487043894572</v>
      </c>
      <c r="E35" s="485">
        <v>1.2107968317676012</v>
      </c>
      <c r="F35" s="485">
        <v>1.2511181042513455</v>
      </c>
      <c r="G35" s="485">
        <v>1.2930614968924812</v>
      </c>
      <c r="H35" s="485">
        <v>1.3285164089040491</v>
      </c>
      <c r="I35" s="485">
        <v>1.3623935773311024</v>
      </c>
      <c r="J35" s="485">
        <v>1.3961128183700473</v>
      </c>
    </row>
    <row r="36" spans="2:13">
      <c r="B36" s="487" t="s">
        <v>487</v>
      </c>
      <c r="C36" s="485">
        <v>1.0288464289363441</v>
      </c>
      <c r="D36" s="485">
        <v>1.0196001318857677</v>
      </c>
      <c r="E36" s="485">
        <v>1.0107766093810269</v>
      </c>
      <c r="F36" s="485">
        <v>1.0214274976583551</v>
      </c>
      <c r="G36" s="485">
        <v>1.0374199975848328</v>
      </c>
      <c r="H36" s="485">
        <v>1.0305556768082411</v>
      </c>
      <c r="I36" s="485">
        <v>1.0258870204865376</v>
      </c>
      <c r="J36" s="485">
        <v>1.02475</v>
      </c>
    </row>
    <row r="37" spans="2:13" ht="15.75" customHeight="1">
      <c r="B37" s="14" t="s">
        <v>270</v>
      </c>
      <c r="F37" s="508"/>
    </row>
    <row r="38" spans="2:13">
      <c r="C38" s="501" t="s">
        <v>271</v>
      </c>
      <c r="D38" s="116">
        <v>2017</v>
      </c>
      <c r="E38" s="117">
        <f t="shared" ref="E38:J38" si="2">D38+1</f>
        <v>2018</v>
      </c>
      <c r="F38" s="117">
        <f t="shared" si="2"/>
        <v>2019</v>
      </c>
      <c r="G38" s="117">
        <f t="shared" si="2"/>
        <v>2020</v>
      </c>
      <c r="H38" s="117">
        <f t="shared" si="2"/>
        <v>2021</v>
      </c>
      <c r="I38" s="117">
        <f t="shared" si="2"/>
        <v>2022</v>
      </c>
      <c r="J38" s="194">
        <f t="shared" si="2"/>
        <v>2023</v>
      </c>
      <c r="K38" s="966" t="s">
        <v>367</v>
      </c>
      <c r="L38" s="966"/>
      <c r="M38" s="966"/>
    </row>
    <row r="39" spans="2:13">
      <c r="B39" t="s">
        <v>368</v>
      </c>
      <c r="C39" s="199"/>
      <c r="D39" s="753"/>
      <c r="E39" s="753"/>
      <c r="F39" s="753"/>
      <c r="G39" s="754">
        <v>1.6E-2</v>
      </c>
      <c r="H39" s="754">
        <v>0.02</v>
      </c>
      <c r="I39" s="754">
        <v>2.5000000000000001E-2</v>
      </c>
      <c r="J39" s="755">
        <v>2.8000000000000001E-2</v>
      </c>
      <c r="K39" s="967" t="s">
        <v>556</v>
      </c>
      <c r="L39" s="967"/>
      <c r="M39" s="967"/>
    </row>
    <row r="41" spans="2:13">
      <c r="B41" s="14" t="s">
        <v>272</v>
      </c>
    </row>
    <row r="42" spans="2:13">
      <c r="C42" s="500" t="s">
        <v>273</v>
      </c>
      <c r="D42" s="116">
        <v>2017</v>
      </c>
      <c r="E42" s="117">
        <f t="shared" ref="E42:J42" si="3">D42+1</f>
        <v>2018</v>
      </c>
      <c r="F42" s="117">
        <f t="shared" si="3"/>
        <v>2019</v>
      </c>
      <c r="G42" s="117">
        <f t="shared" si="3"/>
        <v>2020</v>
      </c>
      <c r="H42" s="117">
        <f t="shared" si="3"/>
        <v>2021</v>
      </c>
      <c r="I42" s="117">
        <f t="shared" si="3"/>
        <v>2022</v>
      </c>
      <c r="J42" s="194">
        <f t="shared" si="3"/>
        <v>2023</v>
      </c>
    </row>
    <row r="43" spans="2:13">
      <c r="B43" t="s">
        <v>274</v>
      </c>
      <c r="D43" s="560"/>
      <c r="E43" s="561"/>
      <c r="F43" s="561"/>
      <c r="G43" s="561"/>
      <c r="H43" s="756">
        <f>(G39*0.75)+(H39*0.25)</f>
        <v>1.7000000000000001E-2</v>
      </c>
      <c r="I43" s="756">
        <f>(H39*0.75)+(I39*0.25)</f>
        <v>2.1249999999999998E-2</v>
      </c>
      <c r="J43" s="757">
        <f>(I39*0.75)+(J39*0.25)</f>
        <v>2.5750000000000002E-2</v>
      </c>
    </row>
    <row r="45" spans="2:13">
      <c r="B45" s="932" t="s">
        <v>626</v>
      </c>
      <c r="C45" s="933"/>
      <c r="D45" s="933"/>
      <c r="E45" s="933"/>
      <c r="F45" s="933"/>
      <c r="G45" s="933"/>
      <c r="H45" s="933"/>
      <c r="I45" s="933"/>
      <c r="J45" s="933"/>
      <c r="K45" s="933"/>
      <c r="L45" s="933"/>
      <c r="M45" s="793"/>
    </row>
    <row r="46" spans="2:13">
      <c r="B46" s="200"/>
      <c r="C46" s="40"/>
      <c r="D46" s="40"/>
      <c r="E46" s="40"/>
      <c r="F46" s="40"/>
      <c r="G46" s="40"/>
      <c r="H46" s="40"/>
      <c r="I46" s="40"/>
      <c r="J46" s="40"/>
      <c r="K46" s="40"/>
      <c r="L46" s="40"/>
      <c r="M46" s="201"/>
    </row>
    <row r="47" spans="2:13">
      <c r="B47" s="200"/>
      <c r="C47" s="934" t="s">
        <v>247</v>
      </c>
      <c r="D47" s="40"/>
      <c r="E47" s="40"/>
      <c r="F47" s="40"/>
      <c r="G47" s="40"/>
      <c r="H47" s="40"/>
      <c r="I47" s="40"/>
      <c r="J47" s="40"/>
      <c r="K47" s="40"/>
      <c r="L47" s="40"/>
      <c r="M47" s="201"/>
    </row>
    <row r="48" spans="2:13">
      <c r="B48" s="311" t="s">
        <v>248</v>
      </c>
      <c r="C48" s="935">
        <v>0.9</v>
      </c>
      <c r="D48" s="40"/>
      <c r="E48" s="40"/>
      <c r="F48" s="40"/>
      <c r="G48" s="40"/>
      <c r="H48" s="40"/>
      <c r="I48" s="40"/>
      <c r="J48" s="40"/>
      <c r="K48" s="40"/>
      <c r="L48" s="40"/>
      <c r="M48" s="201"/>
    </row>
    <row r="49" spans="2:20">
      <c r="B49" s="312"/>
      <c r="C49" s="40"/>
      <c r="D49" s="40"/>
      <c r="E49" s="40"/>
      <c r="F49" s="40"/>
      <c r="G49" s="40"/>
      <c r="H49" s="40"/>
      <c r="I49" s="40"/>
      <c r="J49" s="40"/>
      <c r="K49" s="40"/>
      <c r="L49" s="40"/>
      <c r="M49" s="201"/>
    </row>
    <row r="50" spans="2:20">
      <c r="B50" s="312"/>
      <c r="C50" s="89">
        <v>2014</v>
      </c>
      <c r="D50" s="90">
        <f t="shared" ref="D50:J50" si="4">C50+1</f>
        <v>2015</v>
      </c>
      <c r="E50" s="90">
        <f t="shared" si="4"/>
        <v>2016</v>
      </c>
      <c r="F50" s="90">
        <f t="shared" si="4"/>
        <v>2017</v>
      </c>
      <c r="G50" s="90">
        <f t="shared" si="4"/>
        <v>2018</v>
      </c>
      <c r="H50" s="90">
        <f t="shared" si="4"/>
        <v>2019</v>
      </c>
      <c r="I50" s="90">
        <f t="shared" si="4"/>
        <v>2020</v>
      </c>
      <c r="J50" s="90">
        <f t="shared" si="4"/>
        <v>2021</v>
      </c>
      <c r="K50" s="40"/>
      <c r="L50" s="40"/>
      <c r="M50" s="201"/>
    </row>
    <row r="51" spans="2:20">
      <c r="B51" s="311" t="s">
        <v>250</v>
      </c>
      <c r="C51" s="313">
        <v>0</v>
      </c>
      <c r="D51" s="298">
        <v>0</v>
      </c>
      <c r="E51" s="298">
        <v>0</v>
      </c>
      <c r="F51" s="298">
        <v>0</v>
      </c>
      <c r="G51" s="298">
        <v>0</v>
      </c>
      <c r="H51" s="298">
        <v>0</v>
      </c>
      <c r="I51" s="298">
        <v>0</v>
      </c>
      <c r="J51" s="298">
        <v>0</v>
      </c>
      <c r="K51" s="40"/>
      <c r="L51" s="40"/>
      <c r="M51" s="201"/>
    </row>
    <row r="52" spans="2:20">
      <c r="B52" s="292"/>
      <c r="C52" s="293"/>
      <c r="D52" s="293"/>
      <c r="E52" s="293"/>
      <c r="F52" s="293"/>
      <c r="G52" s="293"/>
      <c r="H52" s="293"/>
      <c r="I52" s="293"/>
      <c r="J52" s="293"/>
      <c r="K52" s="293"/>
      <c r="L52" s="293"/>
      <c r="M52" s="294"/>
    </row>
    <row r="53" spans="2:20">
      <c r="B53" s="40"/>
      <c r="C53" s="40"/>
      <c r="D53" s="40"/>
      <c r="E53" s="40"/>
      <c r="F53" s="40"/>
      <c r="G53" s="40"/>
      <c r="H53" s="40"/>
      <c r="I53" s="40"/>
      <c r="J53" s="40"/>
      <c r="K53" s="40"/>
    </row>
    <row r="54" spans="2:20">
      <c r="B54" s="302"/>
      <c r="C54" s="302"/>
      <c r="E54" s="299" t="s">
        <v>168</v>
      </c>
      <c r="F54" s="321" t="s">
        <v>155</v>
      </c>
      <c r="G54" s="971" t="s">
        <v>248</v>
      </c>
      <c r="H54" s="972"/>
      <c r="I54" s="973"/>
      <c r="J54" s="980" t="s">
        <v>250</v>
      </c>
      <c r="K54" s="981"/>
    </row>
    <row r="55" spans="2:20">
      <c r="B55" s="302"/>
      <c r="C55" s="302"/>
      <c r="E55" s="300" t="s">
        <v>170</v>
      </c>
      <c r="F55" s="322" t="s">
        <v>180</v>
      </c>
      <c r="G55" s="974" t="s">
        <v>248</v>
      </c>
      <c r="H55" s="975"/>
      <c r="I55" s="976"/>
      <c r="J55" s="982" t="s">
        <v>250</v>
      </c>
      <c r="K55" s="983"/>
    </row>
    <row r="56" spans="2:20">
      <c r="B56" s="302"/>
      <c r="C56" s="302"/>
      <c r="E56" s="300" t="s">
        <v>169</v>
      </c>
      <c r="F56" s="322" t="s">
        <v>180</v>
      </c>
      <c r="G56" s="974" t="s">
        <v>239</v>
      </c>
      <c r="H56" s="975"/>
      <c r="I56" s="976"/>
      <c r="J56" s="982" t="s">
        <v>240</v>
      </c>
      <c r="K56" s="983"/>
    </row>
    <row r="57" spans="2:20">
      <c r="B57" s="302"/>
      <c r="C57" s="302"/>
      <c r="E57" s="301" t="s">
        <v>171</v>
      </c>
      <c r="F57" s="323" t="s">
        <v>180</v>
      </c>
      <c r="G57" s="977" t="s">
        <v>249</v>
      </c>
      <c r="H57" s="978"/>
      <c r="I57" s="979"/>
      <c r="J57" s="984" t="s">
        <v>251</v>
      </c>
      <c r="K57" s="985"/>
    </row>
    <row r="58" spans="2:20">
      <c r="B58" s="302"/>
      <c r="C58" s="302"/>
      <c r="E58" s="302"/>
      <c r="F58" s="435"/>
      <c r="G58" s="436"/>
      <c r="H58" s="436"/>
      <c r="I58" s="436"/>
      <c r="J58" s="437"/>
      <c r="K58" s="437"/>
    </row>
    <row r="59" spans="2:20">
      <c r="B59" s="438"/>
      <c r="C59" s="438"/>
      <c r="D59" s="216"/>
      <c r="E59" s="438"/>
      <c r="F59" s="439"/>
      <c r="G59" s="440"/>
      <c r="H59" s="440"/>
      <c r="I59" s="440"/>
      <c r="J59" s="441"/>
      <c r="K59" s="441"/>
      <c r="L59" s="216"/>
      <c r="M59" s="216"/>
      <c r="N59" s="216"/>
      <c r="O59" s="216"/>
      <c r="P59" s="216"/>
      <c r="Q59" s="216"/>
      <c r="R59" s="216"/>
      <c r="S59" s="216"/>
      <c r="T59" s="216"/>
    </row>
    <row r="60" spans="2:20" s="29" customFormat="1">
      <c r="B60" s="389"/>
      <c r="C60" s="389"/>
      <c r="E60" s="389"/>
      <c r="F60" s="442"/>
      <c r="G60" s="443"/>
      <c r="H60" s="443"/>
      <c r="I60" s="443"/>
      <c r="J60" s="444"/>
      <c r="K60" s="444"/>
    </row>
    <row r="61" spans="2:20">
      <c r="B61" s="434" t="s">
        <v>346</v>
      </c>
      <c r="I61" s="65"/>
    </row>
    <row r="62" spans="2:20">
      <c r="C62" s="116">
        <v>2014</v>
      </c>
      <c r="D62" s="117">
        <f t="shared" ref="D62:L62" si="5">C62+1</f>
        <v>2015</v>
      </c>
      <c r="E62" s="117">
        <f t="shared" si="5"/>
        <v>2016</v>
      </c>
      <c r="F62" s="117">
        <f t="shared" si="5"/>
        <v>2017</v>
      </c>
      <c r="G62" s="117">
        <f t="shared" si="5"/>
        <v>2018</v>
      </c>
      <c r="H62" s="117">
        <f t="shared" si="5"/>
        <v>2019</v>
      </c>
      <c r="I62" s="117">
        <f t="shared" si="5"/>
        <v>2020</v>
      </c>
      <c r="J62" s="117">
        <f t="shared" si="5"/>
        <v>2021</v>
      </c>
      <c r="K62" s="117">
        <f t="shared" si="5"/>
        <v>2022</v>
      </c>
      <c r="L62" s="194">
        <f t="shared" si="5"/>
        <v>2023</v>
      </c>
    </row>
    <row r="63" spans="2:20">
      <c r="B63" s="431" t="s">
        <v>344</v>
      </c>
      <c r="C63" s="557"/>
      <c r="D63" s="943"/>
      <c r="E63" s="429">
        <v>2.5499999999999998E-2</v>
      </c>
      <c r="F63" s="429">
        <v>2.3800000000000002E-2</v>
      </c>
      <c r="G63" s="429">
        <v>2.2200000000000001E-2</v>
      </c>
      <c r="H63" s="429">
        <v>1.9099999999999999E-2</v>
      </c>
      <c r="I63" s="429">
        <v>1.5800000000000002E-2</v>
      </c>
      <c r="J63" s="429">
        <v>1.09E-2</v>
      </c>
      <c r="K63" s="429">
        <v>7.7000000000000002E-3</v>
      </c>
      <c r="L63" s="430">
        <v>4.5999999999999999E-3</v>
      </c>
    </row>
    <row r="64" spans="2:20">
      <c r="B64" s="432" t="s">
        <v>331</v>
      </c>
      <c r="C64" s="545"/>
      <c r="D64" s="546"/>
      <c r="E64" s="391">
        <v>2.5499999999999998E-2</v>
      </c>
      <c r="F64" s="391">
        <v>2.4199999999999999E-2</v>
      </c>
      <c r="G64" s="391">
        <v>2.29E-2</v>
      </c>
      <c r="H64" s="391">
        <v>2.0899999999999998E-2</v>
      </c>
      <c r="I64" s="391">
        <v>1.9400000000000001E-2</v>
      </c>
      <c r="J64" s="391">
        <v>1.78E-2</v>
      </c>
      <c r="K64" s="391">
        <v>1.6299999999999999E-2</v>
      </c>
      <c r="L64" s="394">
        <v>1.4800000000000001E-2</v>
      </c>
    </row>
    <row r="65" spans="1:20">
      <c r="B65" s="432" t="s">
        <v>58</v>
      </c>
      <c r="C65" s="390">
        <v>2.92E-2</v>
      </c>
      <c r="D65" s="391">
        <v>2.5000000000000001E-2</v>
      </c>
      <c r="E65" s="391">
        <v>2.1499999999999998E-2</v>
      </c>
      <c r="F65" s="391">
        <v>1.7899999999999999E-2</v>
      </c>
      <c r="G65" s="391">
        <v>1.5100000000000001E-2</v>
      </c>
      <c r="H65" s="391">
        <v>1.1599999999999999E-2</v>
      </c>
      <c r="I65" s="391">
        <v>1.0200000000000001E-2</v>
      </c>
      <c r="J65" s="391">
        <v>8.3000000000000001E-3</v>
      </c>
      <c r="K65" s="558"/>
      <c r="L65" s="559"/>
    </row>
    <row r="66" spans="1:20">
      <c r="B66" s="432" t="s">
        <v>345</v>
      </c>
      <c r="C66" s="427">
        <v>2.92E-2</v>
      </c>
      <c r="D66" s="428">
        <v>2.7199999999999998E-2</v>
      </c>
      <c r="E66" s="428">
        <v>2.5499999999999998E-2</v>
      </c>
      <c r="F66" s="428">
        <v>2.3800000000000002E-2</v>
      </c>
      <c r="G66" s="428">
        <v>2.2200000000000001E-2</v>
      </c>
      <c r="H66" s="428">
        <v>1.9099999999999999E-2</v>
      </c>
      <c r="I66" s="428">
        <v>1.5800000000000002E-2</v>
      </c>
      <c r="J66" s="428">
        <v>1.09E-2</v>
      </c>
      <c r="K66" s="546"/>
      <c r="L66" s="547"/>
    </row>
    <row r="67" spans="1:20">
      <c r="B67" s="432" t="s">
        <v>169</v>
      </c>
      <c r="C67" s="390">
        <v>2.92E-2</v>
      </c>
      <c r="D67" s="391">
        <v>2.7199999999999998E-2</v>
      </c>
      <c r="E67" s="391">
        <v>2.5499999999999998E-2</v>
      </c>
      <c r="F67" s="391">
        <v>2.3800000000000002E-2</v>
      </c>
      <c r="G67" s="391">
        <v>2.2200000000000001E-2</v>
      </c>
      <c r="H67" s="428">
        <v>1.9099999999999999E-2</v>
      </c>
      <c r="I67" s="428">
        <v>1.5800000000000002E-2</v>
      </c>
      <c r="J67" s="428">
        <v>1.09E-2</v>
      </c>
      <c r="K67" s="546"/>
      <c r="L67" s="547"/>
    </row>
    <row r="68" spans="1:20">
      <c r="B68" s="433" t="s">
        <v>171</v>
      </c>
      <c r="C68" s="392">
        <v>2.92E-2</v>
      </c>
      <c r="D68" s="393">
        <v>2.7199999999999998E-2</v>
      </c>
      <c r="E68" s="393">
        <v>2.5499999999999998E-2</v>
      </c>
      <c r="F68" s="393">
        <v>2.3800000000000002E-2</v>
      </c>
      <c r="G68" s="393">
        <v>2.2200000000000001E-2</v>
      </c>
      <c r="H68" s="393">
        <v>1.9099999999999999E-2</v>
      </c>
      <c r="I68" s="393">
        <v>1.5800000000000002E-2</v>
      </c>
      <c r="J68" s="393">
        <v>1.09E-2</v>
      </c>
      <c r="K68" s="548"/>
      <c r="L68" s="549"/>
    </row>
    <row r="69" spans="1:20">
      <c r="I69" s="65"/>
    </row>
    <row r="70" spans="1:20">
      <c r="H70" s="65"/>
      <c r="K70" s="40"/>
      <c r="L70" s="40"/>
      <c r="M70" s="40"/>
      <c r="N70" s="40"/>
      <c r="O70" s="40"/>
      <c r="P70" s="40"/>
      <c r="Q70" s="40"/>
      <c r="R70" s="40"/>
      <c r="S70" s="40"/>
      <c r="T70" s="40"/>
    </row>
    <row r="71" spans="1:20" ht="38.25">
      <c r="B71" s="20"/>
      <c r="C71" s="72" t="s">
        <v>246</v>
      </c>
      <c r="D71" s="73" t="s">
        <v>208</v>
      </c>
      <c r="E71" s="73" t="s">
        <v>69</v>
      </c>
      <c r="F71" s="73" t="s">
        <v>269</v>
      </c>
      <c r="G71" s="73" t="s">
        <v>113</v>
      </c>
      <c r="H71" s="74" t="s">
        <v>182</v>
      </c>
      <c r="I71" s="320" t="s">
        <v>264</v>
      </c>
      <c r="J71" s="320" t="s">
        <v>464</v>
      </c>
      <c r="K71" s="968" t="s">
        <v>340</v>
      </c>
      <c r="L71" s="969"/>
      <c r="M71" s="969"/>
      <c r="N71" s="969"/>
      <c r="O71" s="969"/>
      <c r="P71" s="969"/>
      <c r="Q71" s="969"/>
      <c r="R71" s="969"/>
      <c r="S71" s="969"/>
      <c r="T71" s="970"/>
    </row>
    <row r="72" spans="1:20">
      <c r="A72" s="324" t="s">
        <v>185</v>
      </c>
      <c r="B72" s="66" t="s">
        <v>66</v>
      </c>
      <c r="C72" s="303"/>
      <c r="D72" s="68"/>
      <c r="E72" s="67"/>
      <c r="F72" s="67"/>
      <c r="G72" s="68"/>
      <c r="H72" s="69"/>
      <c r="I72" s="69"/>
      <c r="J72" s="414"/>
      <c r="K72" s="415">
        <v>2014</v>
      </c>
      <c r="L72" s="416">
        <f t="shared" ref="L72:T72" si="6">K72+1</f>
        <v>2015</v>
      </c>
      <c r="M72" s="416">
        <f t="shared" si="6"/>
        <v>2016</v>
      </c>
      <c r="N72" s="416">
        <f t="shared" si="6"/>
        <v>2017</v>
      </c>
      <c r="O72" s="416">
        <f t="shared" si="6"/>
        <v>2018</v>
      </c>
      <c r="P72" s="416">
        <f t="shared" si="6"/>
        <v>2019</v>
      </c>
      <c r="Q72" s="416">
        <f t="shared" si="6"/>
        <v>2020</v>
      </c>
      <c r="R72" s="416">
        <f t="shared" si="6"/>
        <v>2021</v>
      </c>
      <c r="S72" s="416">
        <f t="shared" si="6"/>
        <v>2022</v>
      </c>
      <c r="T72" s="417">
        <f t="shared" si="6"/>
        <v>2023</v>
      </c>
    </row>
    <row r="73" spans="1:20">
      <c r="A73" s="58" t="s">
        <v>168</v>
      </c>
      <c r="B73" s="70" t="s">
        <v>40</v>
      </c>
      <c r="C73" s="304">
        <v>0.06</v>
      </c>
      <c r="D73" s="305">
        <v>0.58109999999999995</v>
      </c>
      <c r="E73" s="306">
        <v>0.65</v>
      </c>
      <c r="F73" s="306">
        <v>0.68</v>
      </c>
      <c r="G73" s="330">
        <v>2016</v>
      </c>
      <c r="H73" s="331" t="str">
        <f t="shared" ref="H73:H97" si="7">VLOOKUP($A73,$E$54:$F$57,2,FALSE)</f>
        <v>£m 12/13</v>
      </c>
      <c r="I73" s="331" t="s">
        <v>265</v>
      </c>
      <c r="J73" s="414" t="s">
        <v>465</v>
      </c>
      <c r="K73" s="545"/>
      <c r="L73" s="546"/>
      <c r="M73" s="422">
        <f t="shared" ref="M73:T82" si="8">E$64</f>
        <v>2.5499999999999998E-2</v>
      </c>
      <c r="N73" s="422">
        <f t="shared" si="8"/>
        <v>2.4199999999999999E-2</v>
      </c>
      <c r="O73" s="422">
        <f t="shared" si="8"/>
        <v>2.29E-2</v>
      </c>
      <c r="P73" s="422">
        <f t="shared" si="8"/>
        <v>2.0899999999999998E-2</v>
      </c>
      <c r="Q73" s="422">
        <f t="shared" si="8"/>
        <v>1.9400000000000001E-2</v>
      </c>
      <c r="R73" s="422">
        <f t="shared" si="8"/>
        <v>1.78E-2</v>
      </c>
      <c r="S73" s="422">
        <f t="shared" si="8"/>
        <v>1.6299999999999999E-2</v>
      </c>
      <c r="T73" s="426">
        <f t="shared" si="8"/>
        <v>1.4800000000000001E-2</v>
      </c>
    </row>
    <row r="74" spans="1:20">
      <c r="A74" s="58" t="s">
        <v>168</v>
      </c>
      <c r="B74" s="70" t="s">
        <v>41</v>
      </c>
      <c r="C74" s="304">
        <v>0.06</v>
      </c>
      <c r="D74" s="305">
        <v>0.55843703457782867</v>
      </c>
      <c r="E74" s="306">
        <v>0.65</v>
      </c>
      <c r="F74" s="306">
        <v>0.7</v>
      </c>
      <c r="G74" s="330">
        <v>2016</v>
      </c>
      <c r="H74" s="331" t="str">
        <f t="shared" si="7"/>
        <v>£m 12/13</v>
      </c>
      <c r="I74" s="331" t="s">
        <v>265</v>
      </c>
      <c r="J74" s="414" t="s">
        <v>465</v>
      </c>
      <c r="K74" s="545"/>
      <c r="L74" s="546"/>
      <c r="M74" s="422">
        <f t="shared" si="8"/>
        <v>2.5499999999999998E-2</v>
      </c>
      <c r="N74" s="422">
        <f t="shared" si="8"/>
        <v>2.4199999999999999E-2</v>
      </c>
      <c r="O74" s="422">
        <f t="shared" si="8"/>
        <v>2.29E-2</v>
      </c>
      <c r="P74" s="422">
        <f t="shared" si="8"/>
        <v>2.0899999999999998E-2</v>
      </c>
      <c r="Q74" s="422">
        <f t="shared" si="8"/>
        <v>1.9400000000000001E-2</v>
      </c>
      <c r="R74" s="422">
        <f t="shared" si="8"/>
        <v>1.78E-2</v>
      </c>
      <c r="S74" s="422">
        <f t="shared" si="8"/>
        <v>1.6299999999999999E-2</v>
      </c>
      <c r="T74" s="426">
        <f t="shared" si="8"/>
        <v>1.4800000000000001E-2</v>
      </c>
    </row>
    <row r="75" spans="1:20">
      <c r="A75" s="58" t="s">
        <v>168</v>
      </c>
      <c r="B75" s="70" t="s">
        <v>70</v>
      </c>
      <c r="C75" s="304">
        <v>0.06</v>
      </c>
      <c r="D75" s="305">
        <v>0.55843703457782867</v>
      </c>
      <c r="E75" s="306">
        <v>0.65</v>
      </c>
      <c r="F75" s="306">
        <v>0.72</v>
      </c>
      <c r="G75" s="330">
        <v>2016</v>
      </c>
      <c r="H75" s="331" t="str">
        <f t="shared" si="7"/>
        <v>£m 12/13</v>
      </c>
      <c r="I75" s="331" t="s">
        <v>265</v>
      </c>
      <c r="J75" s="414" t="s">
        <v>465</v>
      </c>
      <c r="K75" s="545"/>
      <c r="L75" s="546"/>
      <c r="M75" s="422">
        <f t="shared" si="8"/>
        <v>2.5499999999999998E-2</v>
      </c>
      <c r="N75" s="422">
        <f t="shared" si="8"/>
        <v>2.4199999999999999E-2</v>
      </c>
      <c r="O75" s="422">
        <f t="shared" si="8"/>
        <v>2.29E-2</v>
      </c>
      <c r="P75" s="422">
        <f t="shared" si="8"/>
        <v>2.0899999999999998E-2</v>
      </c>
      <c r="Q75" s="422">
        <f t="shared" si="8"/>
        <v>1.9400000000000001E-2</v>
      </c>
      <c r="R75" s="422">
        <f t="shared" si="8"/>
        <v>1.78E-2</v>
      </c>
      <c r="S75" s="422">
        <f t="shared" si="8"/>
        <v>1.6299999999999999E-2</v>
      </c>
      <c r="T75" s="426">
        <f t="shared" si="8"/>
        <v>1.4800000000000001E-2</v>
      </c>
    </row>
    <row r="76" spans="1:20">
      <c r="A76" s="58" t="s">
        <v>168</v>
      </c>
      <c r="B76" s="70" t="s">
        <v>56</v>
      </c>
      <c r="C76" s="304">
        <v>0.06</v>
      </c>
      <c r="D76" s="305">
        <v>0.53280000000000005</v>
      </c>
      <c r="E76" s="306">
        <v>0.65</v>
      </c>
      <c r="F76" s="306">
        <v>0.68</v>
      </c>
      <c r="G76" s="330">
        <v>2016</v>
      </c>
      <c r="H76" s="331" t="str">
        <f t="shared" si="7"/>
        <v>£m 12/13</v>
      </c>
      <c r="I76" s="331" t="s">
        <v>265</v>
      </c>
      <c r="J76" s="414" t="s">
        <v>465</v>
      </c>
      <c r="K76" s="545"/>
      <c r="L76" s="546"/>
      <c r="M76" s="422">
        <f t="shared" si="8"/>
        <v>2.5499999999999998E-2</v>
      </c>
      <c r="N76" s="422">
        <f t="shared" si="8"/>
        <v>2.4199999999999999E-2</v>
      </c>
      <c r="O76" s="422">
        <f t="shared" si="8"/>
        <v>2.29E-2</v>
      </c>
      <c r="P76" s="422">
        <f t="shared" si="8"/>
        <v>2.0899999999999998E-2</v>
      </c>
      <c r="Q76" s="422">
        <f t="shared" si="8"/>
        <v>1.9400000000000001E-2</v>
      </c>
      <c r="R76" s="422">
        <f t="shared" si="8"/>
        <v>1.78E-2</v>
      </c>
      <c r="S76" s="422">
        <f t="shared" si="8"/>
        <v>1.6299999999999999E-2</v>
      </c>
      <c r="T76" s="426">
        <f t="shared" si="8"/>
        <v>1.4800000000000001E-2</v>
      </c>
    </row>
    <row r="77" spans="1:20">
      <c r="A77" s="58" t="s">
        <v>168</v>
      </c>
      <c r="B77" s="70" t="s">
        <v>54</v>
      </c>
      <c r="C77" s="304">
        <v>0.06</v>
      </c>
      <c r="D77" s="305">
        <v>0.53280000000000005</v>
      </c>
      <c r="E77" s="306">
        <v>0.65</v>
      </c>
      <c r="F77" s="306">
        <v>0.68</v>
      </c>
      <c r="G77" s="330">
        <v>2016</v>
      </c>
      <c r="H77" s="331" t="str">
        <f t="shared" si="7"/>
        <v>£m 12/13</v>
      </c>
      <c r="I77" s="331" t="s">
        <v>265</v>
      </c>
      <c r="J77" s="414" t="s">
        <v>465</v>
      </c>
      <c r="K77" s="545"/>
      <c r="L77" s="546"/>
      <c r="M77" s="422">
        <f t="shared" si="8"/>
        <v>2.5499999999999998E-2</v>
      </c>
      <c r="N77" s="422">
        <f t="shared" si="8"/>
        <v>2.4199999999999999E-2</v>
      </c>
      <c r="O77" s="422">
        <f t="shared" si="8"/>
        <v>2.29E-2</v>
      </c>
      <c r="P77" s="422">
        <f t="shared" si="8"/>
        <v>2.0899999999999998E-2</v>
      </c>
      <c r="Q77" s="422">
        <f t="shared" si="8"/>
        <v>1.9400000000000001E-2</v>
      </c>
      <c r="R77" s="422">
        <f t="shared" si="8"/>
        <v>1.78E-2</v>
      </c>
      <c r="S77" s="422">
        <f t="shared" si="8"/>
        <v>1.6299999999999999E-2</v>
      </c>
      <c r="T77" s="426">
        <f t="shared" si="8"/>
        <v>1.4800000000000001E-2</v>
      </c>
    </row>
    <row r="78" spans="1:20">
      <c r="A78" s="58" t="s">
        <v>168</v>
      </c>
      <c r="B78" s="70" t="s">
        <v>55</v>
      </c>
      <c r="C78" s="304">
        <v>0.06</v>
      </c>
      <c r="D78" s="305">
        <v>0.53280000000000005</v>
      </c>
      <c r="E78" s="306">
        <v>0.65</v>
      </c>
      <c r="F78" s="306">
        <v>0.68</v>
      </c>
      <c r="G78" s="330">
        <v>2016</v>
      </c>
      <c r="H78" s="331" t="str">
        <f t="shared" si="7"/>
        <v>£m 12/13</v>
      </c>
      <c r="I78" s="331" t="s">
        <v>265</v>
      </c>
      <c r="J78" s="414" t="s">
        <v>465</v>
      </c>
      <c r="K78" s="545"/>
      <c r="L78" s="546"/>
      <c r="M78" s="422">
        <f t="shared" si="8"/>
        <v>2.5499999999999998E-2</v>
      </c>
      <c r="N78" s="422">
        <f t="shared" si="8"/>
        <v>2.4199999999999999E-2</v>
      </c>
      <c r="O78" s="422">
        <f t="shared" si="8"/>
        <v>2.29E-2</v>
      </c>
      <c r="P78" s="422">
        <f t="shared" si="8"/>
        <v>2.0899999999999998E-2</v>
      </c>
      <c r="Q78" s="422">
        <f t="shared" si="8"/>
        <v>1.9400000000000001E-2</v>
      </c>
      <c r="R78" s="422">
        <f t="shared" si="8"/>
        <v>1.78E-2</v>
      </c>
      <c r="S78" s="422">
        <f t="shared" si="8"/>
        <v>1.6299999999999999E-2</v>
      </c>
      <c r="T78" s="426">
        <f t="shared" si="8"/>
        <v>1.4800000000000001E-2</v>
      </c>
    </row>
    <row r="79" spans="1:20">
      <c r="A79" s="58" t="s">
        <v>168</v>
      </c>
      <c r="B79" s="70" t="s">
        <v>42</v>
      </c>
      <c r="C79" s="304">
        <v>0.06</v>
      </c>
      <c r="D79" s="305">
        <v>0.53500000000000003</v>
      </c>
      <c r="E79" s="306">
        <v>0.65</v>
      </c>
      <c r="F79" s="306">
        <v>0.8</v>
      </c>
      <c r="G79" s="330">
        <v>2016</v>
      </c>
      <c r="H79" s="331" t="str">
        <f t="shared" si="7"/>
        <v>£m 12/13</v>
      </c>
      <c r="I79" s="331" t="s">
        <v>265</v>
      </c>
      <c r="J79" s="414" t="s">
        <v>465</v>
      </c>
      <c r="K79" s="545"/>
      <c r="L79" s="546"/>
      <c r="M79" s="422">
        <f t="shared" si="8"/>
        <v>2.5499999999999998E-2</v>
      </c>
      <c r="N79" s="422">
        <f t="shared" si="8"/>
        <v>2.4199999999999999E-2</v>
      </c>
      <c r="O79" s="422">
        <f t="shared" si="8"/>
        <v>2.29E-2</v>
      </c>
      <c r="P79" s="422">
        <f t="shared" si="8"/>
        <v>2.0899999999999998E-2</v>
      </c>
      <c r="Q79" s="422">
        <f t="shared" si="8"/>
        <v>1.9400000000000001E-2</v>
      </c>
      <c r="R79" s="422">
        <f t="shared" si="8"/>
        <v>1.78E-2</v>
      </c>
      <c r="S79" s="422">
        <f t="shared" si="8"/>
        <v>1.6299999999999999E-2</v>
      </c>
      <c r="T79" s="426">
        <f t="shared" si="8"/>
        <v>1.4800000000000001E-2</v>
      </c>
    </row>
    <row r="80" spans="1:20">
      <c r="A80" s="58" t="s">
        <v>168</v>
      </c>
      <c r="B80" s="70" t="s">
        <v>43</v>
      </c>
      <c r="C80" s="304">
        <v>0.06</v>
      </c>
      <c r="D80" s="305">
        <v>0.53500000000000003</v>
      </c>
      <c r="E80" s="306">
        <v>0.65</v>
      </c>
      <c r="F80" s="306">
        <v>0.8</v>
      </c>
      <c r="G80" s="330">
        <v>2016</v>
      </c>
      <c r="H80" s="331" t="str">
        <f t="shared" si="7"/>
        <v>£m 12/13</v>
      </c>
      <c r="I80" s="331" t="s">
        <v>265</v>
      </c>
      <c r="J80" s="414" t="s">
        <v>465</v>
      </c>
      <c r="K80" s="545"/>
      <c r="L80" s="546"/>
      <c r="M80" s="422">
        <f t="shared" si="8"/>
        <v>2.5499999999999998E-2</v>
      </c>
      <c r="N80" s="422">
        <f t="shared" si="8"/>
        <v>2.4199999999999999E-2</v>
      </c>
      <c r="O80" s="422">
        <f t="shared" si="8"/>
        <v>2.29E-2</v>
      </c>
      <c r="P80" s="422">
        <f t="shared" si="8"/>
        <v>2.0899999999999998E-2</v>
      </c>
      <c r="Q80" s="422">
        <f t="shared" si="8"/>
        <v>1.9400000000000001E-2</v>
      </c>
      <c r="R80" s="422">
        <f t="shared" si="8"/>
        <v>1.78E-2</v>
      </c>
      <c r="S80" s="422">
        <f t="shared" si="8"/>
        <v>1.6299999999999999E-2</v>
      </c>
      <c r="T80" s="426">
        <f t="shared" si="8"/>
        <v>1.4800000000000001E-2</v>
      </c>
    </row>
    <row r="81" spans="1:20">
      <c r="A81" s="58" t="s">
        <v>168</v>
      </c>
      <c r="B81" s="70" t="s">
        <v>44</v>
      </c>
      <c r="C81" s="304">
        <v>0.06</v>
      </c>
      <c r="D81" s="305">
        <v>0.56469999999999998</v>
      </c>
      <c r="E81" s="306">
        <v>0.65</v>
      </c>
      <c r="F81" s="306">
        <v>0.62</v>
      </c>
      <c r="G81" s="330">
        <v>2016</v>
      </c>
      <c r="H81" s="331" t="str">
        <f t="shared" si="7"/>
        <v>£m 12/13</v>
      </c>
      <c r="I81" s="331" t="s">
        <v>265</v>
      </c>
      <c r="J81" s="414" t="s">
        <v>465</v>
      </c>
      <c r="K81" s="545"/>
      <c r="L81" s="546"/>
      <c r="M81" s="422">
        <f t="shared" si="8"/>
        <v>2.5499999999999998E-2</v>
      </c>
      <c r="N81" s="422">
        <f t="shared" si="8"/>
        <v>2.4199999999999999E-2</v>
      </c>
      <c r="O81" s="422">
        <f t="shared" si="8"/>
        <v>2.29E-2</v>
      </c>
      <c r="P81" s="422">
        <f t="shared" si="8"/>
        <v>2.0899999999999998E-2</v>
      </c>
      <c r="Q81" s="422">
        <f t="shared" si="8"/>
        <v>1.9400000000000001E-2</v>
      </c>
      <c r="R81" s="422">
        <f t="shared" si="8"/>
        <v>1.78E-2</v>
      </c>
      <c r="S81" s="422">
        <f t="shared" si="8"/>
        <v>1.6299999999999999E-2</v>
      </c>
      <c r="T81" s="426">
        <f t="shared" si="8"/>
        <v>1.4800000000000001E-2</v>
      </c>
    </row>
    <row r="82" spans="1:20">
      <c r="A82" s="58" t="s">
        <v>168</v>
      </c>
      <c r="B82" s="70" t="s">
        <v>45</v>
      </c>
      <c r="C82" s="304">
        <v>0.06</v>
      </c>
      <c r="D82" s="305">
        <v>0.56469999999999998</v>
      </c>
      <c r="E82" s="306">
        <v>0.65</v>
      </c>
      <c r="F82" s="306">
        <v>0.7</v>
      </c>
      <c r="G82" s="330">
        <v>2016</v>
      </c>
      <c r="H82" s="331" t="str">
        <f t="shared" si="7"/>
        <v>£m 12/13</v>
      </c>
      <c r="I82" s="331" t="s">
        <v>265</v>
      </c>
      <c r="J82" s="414" t="s">
        <v>465</v>
      </c>
      <c r="K82" s="545"/>
      <c r="L82" s="546"/>
      <c r="M82" s="422">
        <f t="shared" si="8"/>
        <v>2.5499999999999998E-2</v>
      </c>
      <c r="N82" s="422">
        <f t="shared" si="8"/>
        <v>2.4199999999999999E-2</v>
      </c>
      <c r="O82" s="422">
        <f t="shared" si="8"/>
        <v>2.29E-2</v>
      </c>
      <c r="P82" s="422">
        <f t="shared" si="8"/>
        <v>2.0899999999999998E-2</v>
      </c>
      <c r="Q82" s="422">
        <f t="shared" si="8"/>
        <v>1.9400000000000001E-2</v>
      </c>
      <c r="R82" s="422">
        <f t="shared" si="8"/>
        <v>1.78E-2</v>
      </c>
      <c r="S82" s="422">
        <f t="shared" si="8"/>
        <v>1.6299999999999999E-2</v>
      </c>
      <c r="T82" s="426">
        <f t="shared" si="8"/>
        <v>1.4800000000000001E-2</v>
      </c>
    </row>
    <row r="83" spans="1:20">
      <c r="A83" s="58" t="s">
        <v>168</v>
      </c>
      <c r="B83" s="70" t="s">
        <v>241</v>
      </c>
      <c r="C83" s="304">
        <v>6.4000000000000001E-2</v>
      </c>
      <c r="D83" s="305">
        <v>0.7</v>
      </c>
      <c r="E83" s="306">
        <v>0.65</v>
      </c>
      <c r="F83" s="306">
        <v>0.8</v>
      </c>
      <c r="G83" s="330">
        <v>2016</v>
      </c>
      <c r="H83" s="331" t="str">
        <f t="shared" si="7"/>
        <v>£m 12/13</v>
      </c>
      <c r="I83" s="331" t="s">
        <v>266</v>
      </c>
      <c r="J83" s="414" t="s">
        <v>466</v>
      </c>
      <c r="K83" s="545"/>
      <c r="L83" s="546"/>
      <c r="M83" s="422">
        <f t="shared" ref="M83:T86" si="9">E$63</f>
        <v>2.5499999999999998E-2</v>
      </c>
      <c r="N83" s="422">
        <f t="shared" si="9"/>
        <v>2.3800000000000002E-2</v>
      </c>
      <c r="O83" s="422">
        <f t="shared" si="9"/>
        <v>2.2200000000000001E-2</v>
      </c>
      <c r="P83" s="422">
        <f t="shared" si="9"/>
        <v>1.9099999999999999E-2</v>
      </c>
      <c r="Q83" s="422">
        <f t="shared" si="9"/>
        <v>1.5800000000000002E-2</v>
      </c>
      <c r="R83" s="422">
        <f t="shared" si="9"/>
        <v>1.09E-2</v>
      </c>
      <c r="S83" s="422">
        <f t="shared" si="9"/>
        <v>7.7000000000000002E-3</v>
      </c>
      <c r="T83" s="426">
        <f t="shared" si="9"/>
        <v>4.5999999999999999E-3</v>
      </c>
    </row>
    <row r="84" spans="1:20">
      <c r="A84" s="58" t="s">
        <v>168</v>
      </c>
      <c r="B84" s="70" t="s">
        <v>242</v>
      </c>
      <c r="C84" s="304">
        <v>6.4000000000000001E-2</v>
      </c>
      <c r="D84" s="305">
        <v>0.7</v>
      </c>
      <c r="E84" s="306">
        <v>0.65</v>
      </c>
      <c r="F84" s="306">
        <v>0.8</v>
      </c>
      <c r="G84" s="330">
        <v>2016</v>
      </c>
      <c r="H84" s="331" t="str">
        <f t="shared" si="7"/>
        <v>£m 12/13</v>
      </c>
      <c r="I84" s="331" t="s">
        <v>266</v>
      </c>
      <c r="J84" s="414" t="s">
        <v>466</v>
      </c>
      <c r="K84" s="545"/>
      <c r="L84" s="546"/>
      <c r="M84" s="422">
        <f t="shared" si="9"/>
        <v>2.5499999999999998E-2</v>
      </c>
      <c r="N84" s="422">
        <f t="shared" si="9"/>
        <v>2.3800000000000002E-2</v>
      </c>
      <c r="O84" s="422">
        <f t="shared" si="9"/>
        <v>2.2200000000000001E-2</v>
      </c>
      <c r="P84" s="422">
        <f t="shared" si="9"/>
        <v>1.9099999999999999E-2</v>
      </c>
      <c r="Q84" s="422">
        <f t="shared" si="9"/>
        <v>1.5800000000000002E-2</v>
      </c>
      <c r="R84" s="422">
        <f t="shared" si="9"/>
        <v>1.09E-2</v>
      </c>
      <c r="S84" s="422">
        <f t="shared" si="9"/>
        <v>7.7000000000000002E-3</v>
      </c>
      <c r="T84" s="426">
        <f t="shared" si="9"/>
        <v>4.5999999999999999E-3</v>
      </c>
    </row>
    <row r="85" spans="1:20">
      <c r="A85" s="58" t="s">
        <v>168</v>
      </c>
      <c r="B85" s="70" t="s">
        <v>243</v>
      </c>
      <c r="C85" s="304">
        <v>6.4000000000000001E-2</v>
      </c>
      <c r="D85" s="305">
        <v>0.7</v>
      </c>
      <c r="E85" s="306">
        <v>0.65</v>
      </c>
      <c r="F85" s="306">
        <v>0.8</v>
      </c>
      <c r="G85" s="330">
        <v>2016</v>
      </c>
      <c r="H85" s="331" t="str">
        <f t="shared" si="7"/>
        <v>£m 12/13</v>
      </c>
      <c r="I85" s="331" t="s">
        <v>266</v>
      </c>
      <c r="J85" s="414" t="s">
        <v>466</v>
      </c>
      <c r="K85" s="545"/>
      <c r="L85" s="546"/>
      <c r="M85" s="422">
        <f t="shared" si="9"/>
        <v>2.5499999999999998E-2</v>
      </c>
      <c r="N85" s="422">
        <f t="shared" si="9"/>
        <v>2.3800000000000002E-2</v>
      </c>
      <c r="O85" s="422">
        <f t="shared" si="9"/>
        <v>2.2200000000000001E-2</v>
      </c>
      <c r="P85" s="422">
        <f t="shared" si="9"/>
        <v>1.9099999999999999E-2</v>
      </c>
      <c r="Q85" s="422">
        <f t="shared" si="9"/>
        <v>1.5800000000000002E-2</v>
      </c>
      <c r="R85" s="422">
        <f t="shared" si="9"/>
        <v>1.09E-2</v>
      </c>
      <c r="S85" s="422">
        <f t="shared" si="9"/>
        <v>7.7000000000000002E-3</v>
      </c>
      <c r="T85" s="426">
        <f t="shared" si="9"/>
        <v>4.5999999999999999E-3</v>
      </c>
    </row>
    <row r="86" spans="1:20">
      <c r="A86" s="58" t="s">
        <v>168</v>
      </c>
      <c r="B86" s="70" t="s">
        <v>244</v>
      </c>
      <c r="C86" s="304">
        <v>6.4000000000000001E-2</v>
      </c>
      <c r="D86" s="305">
        <v>0.7</v>
      </c>
      <c r="E86" s="306">
        <v>0.65</v>
      </c>
      <c r="F86" s="306">
        <v>0.8</v>
      </c>
      <c r="G86" s="330">
        <v>2016</v>
      </c>
      <c r="H86" s="331" t="str">
        <f t="shared" si="7"/>
        <v>£m 12/13</v>
      </c>
      <c r="I86" s="331" t="s">
        <v>266</v>
      </c>
      <c r="J86" s="414" t="s">
        <v>466</v>
      </c>
      <c r="K86" s="545"/>
      <c r="L86" s="546"/>
      <c r="M86" s="422">
        <f t="shared" si="9"/>
        <v>2.5499999999999998E-2</v>
      </c>
      <c r="N86" s="422">
        <f t="shared" si="9"/>
        <v>2.3800000000000002E-2</v>
      </c>
      <c r="O86" s="422">
        <f t="shared" si="9"/>
        <v>2.2200000000000001E-2</v>
      </c>
      <c r="P86" s="422">
        <f t="shared" si="9"/>
        <v>1.9099999999999999E-2</v>
      </c>
      <c r="Q86" s="422">
        <f t="shared" si="9"/>
        <v>1.5800000000000002E-2</v>
      </c>
      <c r="R86" s="422">
        <f t="shared" si="9"/>
        <v>1.09E-2</v>
      </c>
      <c r="S86" s="422">
        <f t="shared" si="9"/>
        <v>7.7000000000000002E-3</v>
      </c>
      <c r="T86" s="426">
        <f t="shared" si="9"/>
        <v>4.5999999999999999E-3</v>
      </c>
    </row>
    <row r="87" spans="1:20">
      <c r="A87" s="58" t="s">
        <v>169</v>
      </c>
      <c r="B87" s="70" t="s">
        <v>50</v>
      </c>
      <c r="C87" s="304">
        <v>6.7000000000000004E-2</v>
      </c>
      <c r="D87" s="305">
        <v>0.63039999999999996</v>
      </c>
      <c r="E87" s="306">
        <v>0.65</v>
      </c>
      <c r="F87" s="306">
        <v>0.26634501855794862</v>
      </c>
      <c r="G87" s="330">
        <v>2014</v>
      </c>
      <c r="H87" s="331" t="str">
        <f t="shared" si="7"/>
        <v>£m 09/10</v>
      </c>
      <c r="I87" s="331" t="s">
        <v>265</v>
      </c>
      <c r="J87" s="414" t="s">
        <v>466</v>
      </c>
      <c r="K87" s="424">
        <f t="shared" ref="K87:R94" si="10">C$67</f>
        <v>2.92E-2</v>
      </c>
      <c r="L87" s="422">
        <f t="shared" si="10"/>
        <v>2.7199999999999998E-2</v>
      </c>
      <c r="M87" s="422">
        <f t="shared" si="10"/>
        <v>2.5499999999999998E-2</v>
      </c>
      <c r="N87" s="422">
        <f t="shared" si="10"/>
        <v>2.3800000000000002E-2</v>
      </c>
      <c r="O87" s="422">
        <f t="shared" si="10"/>
        <v>2.2200000000000001E-2</v>
      </c>
      <c r="P87" s="422">
        <f t="shared" si="10"/>
        <v>1.9099999999999999E-2</v>
      </c>
      <c r="Q87" s="422">
        <f t="shared" si="10"/>
        <v>1.5800000000000002E-2</v>
      </c>
      <c r="R87" s="422">
        <f t="shared" si="10"/>
        <v>1.09E-2</v>
      </c>
      <c r="S87" s="546"/>
      <c r="T87" s="547"/>
    </row>
    <row r="88" spans="1:20">
      <c r="A88" s="58" t="s">
        <v>169</v>
      </c>
      <c r="B88" s="70" t="s">
        <v>51</v>
      </c>
      <c r="C88" s="304">
        <v>6.7000000000000004E-2</v>
      </c>
      <c r="D88" s="305">
        <v>0.63039999999999996</v>
      </c>
      <c r="E88" s="306">
        <v>0.65</v>
      </c>
      <c r="F88" s="306">
        <v>0.23469337831705597</v>
      </c>
      <c r="G88" s="330">
        <v>2014</v>
      </c>
      <c r="H88" s="331" t="str">
        <f t="shared" si="7"/>
        <v>£m 09/10</v>
      </c>
      <c r="I88" s="331" t="s">
        <v>265</v>
      </c>
      <c r="J88" s="414" t="s">
        <v>466</v>
      </c>
      <c r="K88" s="424">
        <f t="shared" si="10"/>
        <v>2.92E-2</v>
      </c>
      <c r="L88" s="422">
        <f t="shared" si="10"/>
        <v>2.7199999999999998E-2</v>
      </c>
      <c r="M88" s="422">
        <f t="shared" si="10"/>
        <v>2.5499999999999998E-2</v>
      </c>
      <c r="N88" s="422">
        <f t="shared" si="10"/>
        <v>2.3800000000000002E-2</v>
      </c>
      <c r="O88" s="422">
        <f t="shared" si="10"/>
        <v>2.2200000000000001E-2</v>
      </c>
      <c r="P88" s="422">
        <f t="shared" si="10"/>
        <v>1.9099999999999999E-2</v>
      </c>
      <c r="Q88" s="422">
        <f t="shared" si="10"/>
        <v>1.5800000000000002E-2</v>
      </c>
      <c r="R88" s="422">
        <f t="shared" si="10"/>
        <v>1.09E-2</v>
      </c>
      <c r="S88" s="546"/>
      <c r="T88" s="547"/>
    </row>
    <row r="89" spans="1:20">
      <c r="A89" s="58" t="s">
        <v>169</v>
      </c>
      <c r="B89" s="70" t="s">
        <v>52</v>
      </c>
      <c r="C89" s="304">
        <v>6.7000000000000004E-2</v>
      </c>
      <c r="D89" s="305">
        <v>0.63039999999999996</v>
      </c>
      <c r="E89" s="306">
        <v>0.65</v>
      </c>
      <c r="F89" s="306">
        <v>0.24946223864843597</v>
      </c>
      <c r="G89" s="330">
        <v>2014</v>
      </c>
      <c r="H89" s="331" t="str">
        <f t="shared" si="7"/>
        <v>£m 09/10</v>
      </c>
      <c r="I89" s="331" t="s">
        <v>265</v>
      </c>
      <c r="J89" s="414" t="s">
        <v>466</v>
      </c>
      <c r="K89" s="424">
        <f t="shared" si="10"/>
        <v>2.92E-2</v>
      </c>
      <c r="L89" s="422">
        <f t="shared" si="10"/>
        <v>2.7199999999999998E-2</v>
      </c>
      <c r="M89" s="422">
        <f t="shared" si="10"/>
        <v>2.5499999999999998E-2</v>
      </c>
      <c r="N89" s="422">
        <f t="shared" si="10"/>
        <v>2.3800000000000002E-2</v>
      </c>
      <c r="O89" s="422">
        <f t="shared" si="10"/>
        <v>2.2200000000000001E-2</v>
      </c>
      <c r="P89" s="422">
        <f t="shared" si="10"/>
        <v>1.9099999999999999E-2</v>
      </c>
      <c r="Q89" s="422">
        <f t="shared" si="10"/>
        <v>1.5800000000000002E-2</v>
      </c>
      <c r="R89" s="422">
        <f t="shared" si="10"/>
        <v>1.09E-2</v>
      </c>
      <c r="S89" s="546"/>
      <c r="T89" s="547"/>
    </row>
    <row r="90" spans="1:20">
      <c r="A90" s="58" t="s">
        <v>169</v>
      </c>
      <c r="B90" s="70" t="s">
        <v>53</v>
      </c>
      <c r="C90" s="304">
        <v>6.7000000000000004E-2</v>
      </c>
      <c r="D90" s="305">
        <v>0.63039999999999996</v>
      </c>
      <c r="E90" s="306">
        <v>0.65</v>
      </c>
      <c r="F90" s="306">
        <v>0.26095352485819256</v>
      </c>
      <c r="G90" s="330">
        <v>2014</v>
      </c>
      <c r="H90" s="331" t="str">
        <f t="shared" si="7"/>
        <v>£m 09/10</v>
      </c>
      <c r="I90" s="331" t="s">
        <v>265</v>
      </c>
      <c r="J90" s="414" t="s">
        <v>466</v>
      </c>
      <c r="K90" s="424">
        <f t="shared" si="10"/>
        <v>2.92E-2</v>
      </c>
      <c r="L90" s="422">
        <f t="shared" si="10"/>
        <v>2.7199999999999998E-2</v>
      </c>
      <c r="M90" s="422">
        <f t="shared" si="10"/>
        <v>2.5499999999999998E-2</v>
      </c>
      <c r="N90" s="422">
        <f t="shared" si="10"/>
        <v>2.3800000000000002E-2</v>
      </c>
      <c r="O90" s="422">
        <f t="shared" si="10"/>
        <v>2.2200000000000001E-2</v>
      </c>
      <c r="P90" s="422">
        <f t="shared" si="10"/>
        <v>1.9099999999999999E-2</v>
      </c>
      <c r="Q90" s="422">
        <f t="shared" si="10"/>
        <v>1.5800000000000002E-2</v>
      </c>
      <c r="R90" s="422">
        <f t="shared" si="10"/>
        <v>1.09E-2</v>
      </c>
      <c r="S90" s="546"/>
      <c r="T90" s="547"/>
    </row>
    <row r="91" spans="1:20">
      <c r="A91" s="58" t="s">
        <v>169</v>
      </c>
      <c r="B91" s="70" t="s">
        <v>47</v>
      </c>
      <c r="C91" s="304">
        <v>6.7000000000000004E-2</v>
      </c>
      <c r="D91" s="305">
        <v>0.63980000000000004</v>
      </c>
      <c r="E91" s="306">
        <v>0.65</v>
      </c>
      <c r="F91" s="306">
        <v>0.34984411379298247</v>
      </c>
      <c r="G91" s="330">
        <v>2014</v>
      </c>
      <c r="H91" s="331" t="str">
        <f t="shared" si="7"/>
        <v>£m 09/10</v>
      </c>
      <c r="I91" s="331" t="s">
        <v>265</v>
      </c>
      <c r="J91" s="414" t="s">
        <v>466</v>
      </c>
      <c r="K91" s="424">
        <f t="shared" si="10"/>
        <v>2.92E-2</v>
      </c>
      <c r="L91" s="422">
        <f t="shared" si="10"/>
        <v>2.7199999999999998E-2</v>
      </c>
      <c r="M91" s="422">
        <f t="shared" si="10"/>
        <v>2.5499999999999998E-2</v>
      </c>
      <c r="N91" s="422">
        <f t="shared" si="10"/>
        <v>2.3800000000000002E-2</v>
      </c>
      <c r="O91" s="422">
        <f t="shared" si="10"/>
        <v>2.2200000000000001E-2</v>
      </c>
      <c r="P91" s="422">
        <f t="shared" si="10"/>
        <v>1.9099999999999999E-2</v>
      </c>
      <c r="Q91" s="422">
        <f t="shared" si="10"/>
        <v>1.5800000000000002E-2</v>
      </c>
      <c r="R91" s="422">
        <f t="shared" si="10"/>
        <v>1.09E-2</v>
      </c>
      <c r="S91" s="546"/>
      <c r="T91" s="547"/>
    </row>
    <row r="92" spans="1:20">
      <c r="A92" s="58" t="s">
        <v>169</v>
      </c>
      <c r="B92" s="70" t="s">
        <v>49</v>
      </c>
      <c r="C92" s="304">
        <v>6.7000000000000004E-2</v>
      </c>
      <c r="D92" s="305">
        <v>0.63729999999999998</v>
      </c>
      <c r="E92" s="306">
        <v>0.65</v>
      </c>
      <c r="F92" s="306">
        <v>0.35129049661183626</v>
      </c>
      <c r="G92" s="330">
        <v>2014</v>
      </c>
      <c r="H92" s="331" t="str">
        <f t="shared" si="7"/>
        <v>£m 09/10</v>
      </c>
      <c r="I92" s="331" t="s">
        <v>265</v>
      </c>
      <c r="J92" s="414" t="s">
        <v>466</v>
      </c>
      <c r="K92" s="424">
        <f t="shared" si="10"/>
        <v>2.92E-2</v>
      </c>
      <c r="L92" s="422">
        <f t="shared" si="10"/>
        <v>2.7199999999999998E-2</v>
      </c>
      <c r="M92" s="422">
        <f t="shared" si="10"/>
        <v>2.5499999999999998E-2</v>
      </c>
      <c r="N92" s="422">
        <f t="shared" si="10"/>
        <v>2.3800000000000002E-2</v>
      </c>
      <c r="O92" s="422">
        <f t="shared" si="10"/>
        <v>2.2200000000000001E-2</v>
      </c>
      <c r="P92" s="422">
        <f t="shared" si="10"/>
        <v>1.9099999999999999E-2</v>
      </c>
      <c r="Q92" s="422">
        <f t="shared" si="10"/>
        <v>1.5800000000000002E-2</v>
      </c>
      <c r="R92" s="422">
        <f t="shared" si="10"/>
        <v>1.09E-2</v>
      </c>
      <c r="S92" s="546"/>
      <c r="T92" s="547"/>
    </row>
    <row r="93" spans="1:20">
      <c r="A93" s="58" t="s">
        <v>169</v>
      </c>
      <c r="B93" s="70" t="s">
        <v>48</v>
      </c>
      <c r="C93" s="304">
        <v>6.7000000000000004E-2</v>
      </c>
      <c r="D93" s="305">
        <v>0.63729999999999998</v>
      </c>
      <c r="E93" s="306">
        <v>0.65</v>
      </c>
      <c r="F93" s="306">
        <v>0.32230855902021693</v>
      </c>
      <c r="G93" s="330">
        <v>2014</v>
      </c>
      <c r="H93" s="331" t="str">
        <f t="shared" si="7"/>
        <v>£m 09/10</v>
      </c>
      <c r="I93" s="331" t="s">
        <v>265</v>
      </c>
      <c r="J93" s="414" t="s">
        <v>466</v>
      </c>
      <c r="K93" s="424">
        <f t="shared" si="10"/>
        <v>2.92E-2</v>
      </c>
      <c r="L93" s="422">
        <f t="shared" si="10"/>
        <v>2.7199999999999998E-2</v>
      </c>
      <c r="M93" s="422">
        <f t="shared" si="10"/>
        <v>2.5499999999999998E-2</v>
      </c>
      <c r="N93" s="422">
        <f t="shared" si="10"/>
        <v>2.3800000000000002E-2</v>
      </c>
      <c r="O93" s="422">
        <f t="shared" si="10"/>
        <v>2.2200000000000001E-2</v>
      </c>
      <c r="P93" s="422">
        <f t="shared" si="10"/>
        <v>1.9099999999999999E-2</v>
      </c>
      <c r="Q93" s="422">
        <f t="shared" si="10"/>
        <v>1.5800000000000002E-2</v>
      </c>
      <c r="R93" s="422">
        <f t="shared" si="10"/>
        <v>1.09E-2</v>
      </c>
      <c r="S93" s="546"/>
      <c r="T93" s="547"/>
    </row>
    <row r="94" spans="1:20">
      <c r="A94" s="58" t="s">
        <v>169</v>
      </c>
      <c r="B94" s="70" t="s">
        <v>46</v>
      </c>
      <c r="C94" s="304">
        <v>6.7000000000000004E-2</v>
      </c>
      <c r="D94" s="305">
        <v>0.63170000000000004</v>
      </c>
      <c r="E94" s="306">
        <v>0.65</v>
      </c>
      <c r="F94" s="306">
        <v>0.35781904469402892</v>
      </c>
      <c r="G94" s="330">
        <v>2014</v>
      </c>
      <c r="H94" s="331" t="str">
        <f t="shared" si="7"/>
        <v>£m 09/10</v>
      </c>
      <c r="I94" s="331" t="s">
        <v>265</v>
      </c>
      <c r="J94" s="414" t="s">
        <v>466</v>
      </c>
      <c r="K94" s="424">
        <f t="shared" si="10"/>
        <v>2.92E-2</v>
      </c>
      <c r="L94" s="422">
        <f t="shared" si="10"/>
        <v>2.7199999999999998E-2</v>
      </c>
      <c r="M94" s="422">
        <f t="shared" si="10"/>
        <v>2.5499999999999998E-2</v>
      </c>
      <c r="N94" s="422">
        <f t="shared" si="10"/>
        <v>2.3800000000000002E-2</v>
      </c>
      <c r="O94" s="422">
        <f t="shared" si="10"/>
        <v>2.2200000000000001E-2</v>
      </c>
      <c r="P94" s="422">
        <f t="shared" si="10"/>
        <v>1.9099999999999999E-2</v>
      </c>
      <c r="Q94" s="422">
        <f t="shared" si="10"/>
        <v>1.5800000000000002E-2</v>
      </c>
      <c r="R94" s="422">
        <f t="shared" si="10"/>
        <v>1.09E-2</v>
      </c>
      <c r="S94" s="546"/>
      <c r="T94" s="547"/>
    </row>
    <row r="95" spans="1:20">
      <c r="A95" s="58" t="s">
        <v>171</v>
      </c>
      <c r="B95" s="70" t="s">
        <v>110</v>
      </c>
      <c r="C95" s="304">
        <v>6.8000000000000005E-2</v>
      </c>
      <c r="D95" s="305">
        <v>0.44359999999999999</v>
      </c>
      <c r="E95" s="306">
        <v>0.625</v>
      </c>
      <c r="F95" s="306">
        <v>0.64400000000000002</v>
      </c>
      <c r="G95" s="330">
        <v>2014</v>
      </c>
      <c r="H95" s="331" t="str">
        <f t="shared" si="7"/>
        <v>£m 09/10</v>
      </c>
      <c r="I95" s="331" t="s">
        <v>265</v>
      </c>
      <c r="J95" s="414" t="s">
        <v>466</v>
      </c>
      <c r="K95" s="424">
        <f t="shared" ref="K95:R96" si="11">C$68</f>
        <v>2.92E-2</v>
      </c>
      <c r="L95" s="422">
        <f t="shared" si="11"/>
        <v>2.7199999999999998E-2</v>
      </c>
      <c r="M95" s="422">
        <f t="shared" si="11"/>
        <v>2.5499999999999998E-2</v>
      </c>
      <c r="N95" s="422">
        <f t="shared" si="11"/>
        <v>2.3800000000000002E-2</v>
      </c>
      <c r="O95" s="422">
        <f t="shared" si="11"/>
        <v>2.2200000000000001E-2</v>
      </c>
      <c r="P95" s="422">
        <f t="shared" si="11"/>
        <v>1.9099999999999999E-2</v>
      </c>
      <c r="Q95" s="422">
        <f t="shared" si="11"/>
        <v>1.5800000000000002E-2</v>
      </c>
      <c r="R95" s="422">
        <f t="shared" si="11"/>
        <v>1.09E-2</v>
      </c>
      <c r="S95" s="546"/>
      <c r="T95" s="547"/>
    </row>
    <row r="96" spans="1:20">
      <c r="A96" s="58" t="s">
        <v>171</v>
      </c>
      <c r="B96" s="70" t="s">
        <v>111</v>
      </c>
      <c r="C96" s="304">
        <v>6.8000000000000005E-2</v>
      </c>
      <c r="D96" s="305">
        <v>0.44359999999999999</v>
      </c>
      <c r="E96" s="306">
        <v>0.625</v>
      </c>
      <c r="F96" s="306">
        <v>0.374</v>
      </c>
      <c r="G96" s="330">
        <v>2014</v>
      </c>
      <c r="H96" s="331" t="str">
        <f t="shared" si="7"/>
        <v>£m 09/10</v>
      </c>
      <c r="I96" s="331" t="s">
        <v>265</v>
      </c>
      <c r="J96" s="414" t="s">
        <v>466</v>
      </c>
      <c r="K96" s="424">
        <f t="shared" si="11"/>
        <v>2.92E-2</v>
      </c>
      <c r="L96" s="422">
        <f t="shared" si="11"/>
        <v>2.7199999999999998E-2</v>
      </c>
      <c r="M96" s="422">
        <f t="shared" si="11"/>
        <v>2.5499999999999998E-2</v>
      </c>
      <c r="N96" s="422">
        <f t="shared" si="11"/>
        <v>2.3800000000000002E-2</v>
      </c>
      <c r="O96" s="422">
        <f t="shared" si="11"/>
        <v>2.2200000000000001E-2</v>
      </c>
      <c r="P96" s="422">
        <f t="shared" si="11"/>
        <v>1.9099999999999999E-2</v>
      </c>
      <c r="Q96" s="422">
        <f t="shared" si="11"/>
        <v>1.5800000000000002E-2</v>
      </c>
      <c r="R96" s="422">
        <f t="shared" si="11"/>
        <v>1.09E-2</v>
      </c>
      <c r="S96" s="546"/>
      <c r="T96" s="547"/>
    </row>
    <row r="97" spans="1:20">
      <c r="A97" s="58" t="s">
        <v>170</v>
      </c>
      <c r="B97" s="70" t="s">
        <v>108</v>
      </c>
      <c r="C97" s="304">
        <v>7.0000000000000007E-2</v>
      </c>
      <c r="D97" s="305">
        <v>0.46889999999999998</v>
      </c>
      <c r="E97" s="306">
        <v>0.6</v>
      </c>
      <c r="F97" s="306">
        <v>0.85</v>
      </c>
      <c r="G97" s="330">
        <v>2014</v>
      </c>
      <c r="H97" s="331" t="str">
        <f t="shared" si="7"/>
        <v>£m 09/10</v>
      </c>
      <c r="I97" s="331" t="s">
        <v>265</v>
      </c>
      <c r="J97" s="414" t="s">
        <v>466</v>
      </c>
      <c r="K97" s="424">
        <f t="shared" ref="K97:R99" si="12">C$66</f>
        <v>2.92E-2</v>
      </c>
      <c r="L97" s="422">
        <f t="shared" si="12"/>
        <v>2.7199999999999998E-2</v>
      </c>
      <c r="M97" s="422">
        <f t="shared" si="12"/>
        <v>2.5499999999999998E-2</v>
      </c>
      <c r="N97" s="422">
        <f t="shared" si="12"/>
        <v>2.3800000000000002E-2</v>
      </c>
      <c r="O97" s="422">
        <f t="shared" si="12"/>
        <v>2.2200000000000001E-2</v>
      </c>
      <c r="P97" s="422">
        <f t="shared" si="12"/>
        <v>1.9099999999999999E-2</v>
      </c>
      <c r="Q97" s="422">
        <f t="shared" si="12"/>
        <v>1.5800000000000002E-2</v>
      </c>
      <c r="R97" s="422">
        <f t="shared" si="12"/>
        <v>1.09E-2</v>
      </c>
      <c r="S97" s="546"/>
      <c r="T97" s="547"/>
    </row>
    <row r="98" spans="1:20">
      <c r="A98" s="58" t="s">
        <v>170</v>
      </c>
      <c r="B98" s="70" t="s">
        <v>109</v>
      </c>
      <c r="C98" s="304">
        <v>7.0000000000000007E-2</v>
      </c>
      <c r="D98" s="305">
        <v>0.46889999999999998</v>
      </c>
      <c r="E98" s="306">
        <v>0.6</v>
      </c>
      <c r="F98" s="306">
        <v>0.27900000000000003</v>
      </c>
      <c r="G98" s="330">
        <v>2014</v>
      </c>
      <c r="H98" s="331" t="str">
        <f>VLOOKUP($A98,$E$54:$F$57,2,FALSE)</f>
        <v>£m 09/10</v>
      </c>
      <c r="I98" s="331" t="s">
        <v>265</v>
      </c>
      <c r="J98" s="414" t="s">
        <v>466</v>
      </c>
      <c r="K98" s="424">
        <f t="shared" si="12"/>
        <v>2.92E-2</v>
      </c>
      <c r="L98" s="422">
        <f t="shared" si="12"/>
        <v>2.7199999999999998E-2</v>
      </c>
      <c r="M98" s="422">
        <f t="shared" si="12"/>
        <v>2.5499999999999998E-2</v>
      </c>
      <c r="N98" s="422">
        <f t="shared" si="12"/>
        <v>2.3800000000000002E-2</v>
      </c>
      <c r="O98" s="422">
        <f t="shared" si="12"/>
        <v>2.2200000000000001E-2</v>
      </c>
      <c r="P98" s="422">
        <f t="shared" si="12"/>
        <v>1.9099999999999999E-2</v>
      </c>
      <c r="Q98" s="422">
        <f t="shared" si="12"/>
        <v>1.5800000000000002E-2</v>
      </c>
      <c r="R98" s="422">
        <f t="shared" si="12"/>
        <v>1.09E-2</v>
      </c>
      <c r="S98" s="546"/>
      <c r="T98" s="547"/>
    </row>
    <row r="99" spans="1:20">
      <c r="A99" s="58" t="s">
        <v>170</v>
      </c>
      <c r="B99" s="70" t="s">
        <v>57</v>
      </c>
      <c r="C99" s="304">
        <v>7.0000000000000007E-2</v>
      </c>
      <c r="D99" s="305">
        <v>0.5</v>
      </c>
      <c r="E99" s="306">
        <v>0.55000000000000004</v>
      </c>
      <c r="F99" s="306">
        <v>0.9</v>
      </c>
      <c r="G99" s="330">
        <v>2014</v>
      </c>
      <c r="H99" s="331" t="str">
        <f>VLOOKUP($A99,$E$54:$F$57,2,FALSE)</f>
        <v>£m 09/10</v>
      </c>
      <c r="I99" s="331" t="s">
        <v>266</v>
      </c>
      <c r="J99" s="414" t="s">
        <v>466</v>
      </c>
      <c r="K99" s="424">
        <f t="shared" si="12"/>
        <v>2.92E-2</v>
      </c>
      <c r="L99" s="422">
        <f t="shared" si="12"/>
        <v>2.7199999999999998E-2</v>
      </c>
      <c r="M99" s="422">
        <f t="shared" si="12"/>
        <v>2.5499999999999998E-2</v>
      </c>
      <c r="N99" s="422">
        <f t="shared" si="12"/>
        <v>2.3800000000000002E-2</v>
      </c>
      <c r="O99" s="422">
        <f t="shared" si="12"/>
        <v>2.2200000000000001E-2</v>
      </c>
      <c r="P99" s="422">
        <f t="shared" si="12"/>
        <v>1.9099999999999999E-2</v>
      </c>
      <c r="Q99" s="422">
        <f t="shared" si="12"/>
        <v>1.5800000000000002E-2</v>
      </c>
      <c r="R99" s="422">
        <f t="shared" si="12"/>
        <v>1.09E-2</v>
      </c>
      <c r="S99" s="546"/>
      <c r="T99" s="547"/>
    </row>
    <row r="100" spans="1:20">
      <c r="A100" s="58" t="s">
        <v>170</v>
      </c>
      <c r="B100" s="71" t="s">
        <v>58</v>
      </c>
      <c r="C100" s="307">
        <v>7.0000000000000007E-2</v>
      </c>
      <c r="D100" s="308">
        <v>0.5</v>
      </c>
      <c r="E100" s="309">
        <v>0.55000000000000004</v>
      </c>
      <c r="F100" s="309">
        <v>0.9</v>
      </c>
      <c r="G100" s="318">
        <v>2014</v>
      </c>
      <c r="H100" s="319" t="str">
        <f>VLOOKUP($A100,$E$54:$F$57,2,FALSE)</f>
        <v>£m 09/10</v>
      </c>
      <c r="I100" s="319" t="s">
        <v>266</v>
      </c>
      <c r="J100" s="414" t="s">
        <v>466</v>
      </c>
      <c r="K100" s="425">
        <f t="shared" ref="K100:R100" si="13">C$65</f>
        <v>2.92E-2</v>
      </c>
      <c r="L100" s="423">
        <f t="shared" si="13"/>
        <v>2.5000000000000001E-2</v>
      </c>
      <c r="M100" s="423">
        <f t="shared" si="13"/>
        <v>2.1499999999999998E-2</v>
      </c>
      <c r="N100" s="423">
        <f t="shared" si="13"/>
        <v>1.7899999999999999E-2</v>
      </c>
      <c r="O100" s="423">
        <f t="shared" si="13"/>
        <v>1.5100000000000001E-2</v>
      </c>
      <c r="P100" s="423">
        <f t="shared" si="13"/>
        <v>1.1599999999999999E-2</v>
      </c>
      <c r="Q100" s="423">
        <f t="shared" si="13"/>
        <v>1.0200000000000001E-2</v>
      </c>
      <c r="R100" s="423">
        <f t="shared" si="13"/>
        <v>8.3000000000000001E-3</v>
      </c>
      <c r="S100" s="548"/>
      <c r="T100" s="549"/>
    </row>
    <row r="101" spans="1:20">
      <c r="I101" s="65"/>
    </row>
    <row r="102" spans="1:20">
      <c r="I102" s="65"/>
    </row>
    <row r="103" spans="1:20">
      <c r="I103" s="65"/>
    </row>
    <row r="104" spans="1:20" ht="13.5">
      <c r="B104" s="14" t="s">
        <v>245</v>
      </c>
      <c r="D104" s="295"/>
      <c r="E104" s="295"/>
      <c r="F104" s="295"/>
      <c r="G104" s="295"/>
      <c r="H104" s="295"/>
      <c r="I104" s="295"/>
      <c r="J104" s="295"/>
    </row>
    <row r="105" spans="1:20">
      <c r="B105" s="14"/>
      <c r="C105" s="116">
        <v>2014</v>
      </c>
      <c r="D105" s="117">
        <f>C105+1</f>
        <v>2015</v>
      </c>
      <c r="E105" s="117">
        <f t="shared" ref="E105:J105" si="14">D105+1</f>
        <v>2016</v>
      </c>
      <c r="F105" s="117">
        <f>E105+1</f>
        <v>2017</v>
      </c>
      <c r="G105" s="117">
        <f t="shared" si="14"/>
        <v>2018</v>
      </c>
      <c r="H105" s="117">
        <f t="shared" si="14"/>
        <v>2019</v>
      </c>
      <c r="I105" s="117">
        <f t="shared" si="14"/>
        <v>2020</v>
      </c>
      <c r="J105" s="117">
        <f t="shared" si="14"/>
        <v>2021</v>
      </c>
    </row>
    <row r="106" spans="1:20">
      <c r="B106" s="299" t="s">
        <v>50</v>
      </c>
      <c r="C106" s="296">
        <v>0.5</v>
      </c>
      <c r="D106" s="296">
        <v>0.5714285714285714</v>
      </c>
      <c r="E106" s="296">
        <v>0.64285714285714279</v>
      </c>
      <c r="F106" s="296">
        <v>0.71428571428571419</v>
      </c>
      <c r="G106" s="296">
        <v>0.78571428571428559</v>
      </c>
      <c r="H106" s="296">
        <v>0.85714285714285698</v>
      </c>
      <c r="I106" s="296">
        <v>0.92857142857142838</v>
      </c>
      <c r="J106" s="297">
        <v>1</v>
      </c>
    </row>
    <row r="107" spans="1:20">
      <c r="B107" s="300" t="s">
        <v>51</v>
      </c>
      <c r="C107" s="218">
        <v>0.5</v>
      </c>
      <c r="D107" s="218">
        <v>0.5714285714285714</v>
      </c>
      <c r="E107" s="218">
        <v>0.64285714285714279</v>
      </c>
      <c r="F107" s="218">
        <v>0.71428571428571419</v>
      </c>
      <c r="G107" s="218">
        <v>0.78571428571428559</v>
      </c>
      <c r="H107" s="218">
        <v>0.85714285714285698</v>
      </c>
      <c r="I107" s="218">
        <v>0.92857142857142838</v>
      </c>
      <c r="J107" s="219">
        <v>1</v>
      </c>
    </row>
    <row r="108" spans="1:20">
      <c r="B108" s="300" t="s">
        <v>52</v>
      </c>
      <c r="C108" s="218">
        <v>0.5</v>
      </c>
      <c r="D108" s="218">
        <v>0.5714285714285714</v>
      </c>
      <c r="E108" s="218">
        <v>0.64285714285714279</v>
      </c>
      <c r="F108" s="218">
        <v>0.71428571428571419</v>
      </c>
      <c r="G108" s="218">
        <v>0.78571428571428559</v>
      </c>
      <c r="H108" s="218">
        <v>0.85714285714285698</v>
      </c>
      <c r="I108" s="218">
        <v>0.92857142857142838</v>
      </c>
      <c r="J108" s="219">
        <v>1</v>
      </c>
    </row>
    <row r="109" spans="1:20">
      <c r="B109" s="300" t="s">
        <v>53</v>
      </c>
      <c r="C109" s="218">
        <v>0.5</v>
      </c>
      <c r="D109" s="218">
        <v>0.5714285714285714</v>
      </c>
      <c r="E109" s="218">
        <v>0.64285714285714279</v>
      </c>
      <c r="F109" s="218">
        <v>0.71428571428571419</v>
      </c>
      <c r="G109" s="218">
        <v>0.78571428571428559</v>
      </c>
      <c r="H109" s="218">
        <v>0.85714285714285698</v>
      </c>
      <c r="I109" s="218">
        <v>0.92857142857142838</v>
      </c>
      <c r="J109" s="219">
        <v>1</v>
      </c>
    </row>
    <row r="110" spans="1:20">
      <c r="B110" s="300" t="s">
        <v>47</v>
      </c>
      <c r="C110" s="218">
        <v>0.5</v>
      </c>
      <c r="D110" s="218">
        <v>0.5714285714285714</v>
      </c>
      <c r="E110" s="218">
        <v>0.64285714285714279</v>
      </c>
      <c r="F110" s="218">
        <v>0.71428571428571419</v>
      </c>
      <c r="G110" s="218">
        <v>0.78571428571428559</v>
      </c>
      <c r="H110" s="218">
        <v>0.85714285714285698</v>
      </c>
      <c r="I110" s="218">
        <v>0.92857142857142838</v>
      </c>
      <c r="J110" s="219">
        <v>1</v>
      </c>
    </row>
    <row r="111" spans="1:20">
      <c r="B111" s="300" t="s">
        <v>49</v>
      </c>
      <c r="C111" s="218">
        <v>0.5</v>
      </c>
      <c r="D111" s="218">
        <v>0.5714285714285714</v>
      </c>
      <c r="E111" s="218">
        <v>0.64285714285714279</v>
      </c>
      <c r="F111" s="218">
        <v>0.71428571428571419</v>
      </c>
      <c r="G111" s="218">
        <v>0.78571428571428559</v>
      </c>
      <c r="H111" s="218">
        <v>0.85714285714285698</v>
      </c>
      <c r="I111" s="218">
        <v>0.92857142857142838</v>
      </c>
      <c r="J111" s="219">
        <v>1</v>
      </c>
    </row>
    <row r="112" spans="1:20">
      <c r="B112" s="300" t="s">
        <v>48</v>
      </c>
      <c r="C112" s="218">
        <v>0.5</v>
      </c>
      <c r="D112" s="218">
        <v>0.5714285714285714</v>
      </c>
      <c r="E112" s="218">
        <v>0.64285714285714279</v>
      </c>
      <c r="F112" s="218">
        <v>0.71428571428571419</v>
      </c>
      <c r="G112" s="218">
        <v>0.78571428571428559</v>
      </c>
      <c r="H112" s="218">
        <v>0.85714285714285698</v>
      </c>
      <c r="I112" s="218">
        <v>0.92857142857142838</v>
      </c>
      <c r="J112" s="219">
        <v>1</v>
      </c>
    </row>
    <row r="113" spans="2:15">
      <c r="B113" s="407" t="s">
        <v>46</v>
      </c>
      <c r="C113" s="408">
        <v>0.5</v>
      </c>
      <c r="D113" s="408">
        <v>0.5714285714285714</v>
      </c>
      <c r="E113" s="408">
        <v>0.64285714285714279</v>
      </c>
      <c r="F113" s="408">
        <v>0.71428571428571419</v>
      </c>
      <c r="G113" s="408">
        <v>0.78571428571428559</v>
      </c>
      <c r="H113" s="408">
        <v>0.85714285714285698</v>
      </c>
      <c r="I113" s="408">
        <v>0.92857142857142838</v>
      </c>
      <c r="J113" s="409">
        <v>1</v>
      </c>
    </row>
    <row r="114" spans="2:15">
      <c r="B114" s="300" t="s">
        <v>110</v>
      </c>
      <c r="C114" s="218">
        <v>0.9</v>
      </c>
      <c r="D114" s="218">
        <v>0.9</v>
      </c>
      <c r="E114" s="218">
        <v>0.9</v>
      </c>
      <c r="F114" s="218">
        <v>0.9</v>
      </c>
      <c r="G114" s="218">
        <v>0.9</v>
      </c>
      <c r="H114" s="218">
        <v>0.9</v>
      </c>
      <c r="I114" s="218">
        <v>0.9</v>
      </c>
      <c r="J114" s="219">
        <v>0.9</v>
      </c>
    </row>
    <row r="115" spans="2:15">
      <c r="B115" s="301" t="s">
        <v>111</v>
      </c>
      <c r="C115" s="553"/>
      <c r="D115" s="553"/>
      <c r="E115" s="553"/>
      <c r="F115" s="553"/>
      <c r="G115" s="553"/>
      <c r="H115" s="553"/>
      <c r="I115" s="553"/>
      <c r="J115" s="553"/>
    </row>
    <row r="116" spans="2:15">
      <c r="B116" s="389"/>
      <c r="C116" s="448"/>
      <c r="D116" s="448"/>
      <c r="E116" s="448"/>
      <c r="F116" s="448"/>
      <c r="G116" s="448"/>
      <c r="H116" s="448"/>
      <c r="I116" s="448"/>
      <c r="J116" s="448"/>
      <c r="M116" s="29"/>
      <c r="N116" s="29"/>
      <c r="O116" s="29"/>
    </row>
    <row r="117" spans="2:15">
      <c r="B117" s="389"/>
      <c r="C117" s="448"/>
      <c r="D117" s="448"/>
      <c r="E117" s="448"/>
      <c r="F117" s="448"/>
      <c r="G117" s="448"/>
      <c r="H117" s="448"/>
      <c r="I117" s="448"/>
      <c r="J117" s="448"/>
      <c r="K117" s="355"/>
      <c r="L117" s="355"/>
      <c r="M117" s="29"/>
      <c r="N117" s="29"/>
      <c r="O117" s="29"/>
    </row>
    <row r="118" spans="2:15">
      <c r="B118" s="458" t="s">
        <v>210</v>
      </c>
      <c r="C118" s="116">
        <v>2014</v>
      </c>
      <c r="D118" s="117">
        <f t="shared" ref="D118:L118" si="15">C118+1</f>
        <v>2015</v>
      </c>
      <c r="E118" s="117">
        <f t="shared" si="15"/>
        <v>2016</v>
      </c>
      <c r="F118" s="117">
        <f t="shared" si="15"/>
        <v>2017</v>
      </c>
      <c r="G118" s="117">
        <f t="shared" si="15"/>
        <v>2018</v>
      </c>
      <c r="H118" s="117">
        <f t="shared" si="15"/>
        <v>2019</v>
      </c>
      <c r="I118" s="117">
        <f t="shared" si="15"/>
        <v>2020</v>
      </c>
      <c r="J118" s="117">
        <f t="shared" si="15"/>
        <v>2021</v>
      </c>
      <c r="K118" s="117">
        <f t="shared" si="15"/>
        <v>2022</v>
      </c>
      <c r="L118" s="194">
        <f t="shared" si="15"/>
        <v>2023</v>
      </c>
      <c r="M118" s="29"/>
      <c r="N118" s="29"/>
      <c r="O118" s="29"/>
    </row>
    <row r="119" spans="2:15">
      <c r="B119" s="449" t="s">
        <v>40</v>
      </c>
      <c r="C119" s="550"/>
      <c r="D119" s="551"/>
      <c r="E119" s="451">
        <v>1.5575632164737283</v>
      </c>
      <c r="F119" s="451">
        <v>1.4734141240658321</v>
      </c>
      <c r="G119" s="451">
        <v>1.4689588897025405</v>
      </c>
      <c r="H119" s="451">
        <v>1.4707200530126929</v>
      </c>
      <c r="I119" s="451">
        <v>1.4674716260161711</v>
      </c>
      <c r="J119" s="451">
        <v>1.4486206224386007</v>
      </c>
      <c r="K119" s="451">
        <v>1.4956798325868756</v>
      </c>
      <c r="L119" s="452">
        <v>1.4397148718051931</v>
      </c>
      <c r="M119" s="29"/>
      <c r="N119" s="29"/>
      <c r="O119" s="29"/>
    </row>
    <row r="120" spans="2:15">
      <c r="B120" s="449" t="s">
        <v>41</v>
      </c>
      <c r="C120" s="552"/>
      <c r="D120" s="553"/>
      <c r="E120" s="453">
        <v>-0.65871781800535345</v>
      </c>
      <c r="F120" s="453">
        <v>-0.63543772576063684</v>
      </c>
      <c r="G120" s="453">
        <v>-0.58907862874233818</v>
      </c>
      <c r="H120" s="453">
        <v>-0.58178188190178026</v>
      </c>
      <c r="I120" s="453">
        <v>-0.56823918867341305</v>
      </c>
      <c r="J120" s="453">
        <v>-0.51933170333654122</v>
      </c>
      <c r="K120" s="453">
        <v>-0.47962665852661612</v>
      </c>
      <c r="L120" s="454">
        <v>-0.4656874701170608</v>
      </c>
      <c r="M120" s="29"/>
      <c r="N120" s="29"/>
      <c r="O120" s="29"/>
    </row>
    <row r="121" spans="2:15">
      <c r="B121" s="449" t="s">
        <v>70</v>
      </c>
      <c r="C121" s="552"/>
      <c r="D121" s="553"/>
      <c r="E121" s="453">
        <v>-0.86626036283610952</v>
      </c>
      <c r="F121" s="453">
        <v>-0.81019773780890636</v>
      </c>
      <c r="G121" s="453">
        <v>-0.78919084241395188</v>
      </c>
      <c r="H121" s="453">
        <v>-0.79061873066036981</v>
      </c>
      <c r="I121" s="453">
        <v>-0.74432653414361061</v>
      </c>
      <c r="J121" s="453">
        <v>-0.70697274816976396</v>
      </c>
      <c r="K121" s="453">
        <v>-0.65350946162011747</v>
      </c>
      <c r="L121" s="454">
        <v>-0.66429758885743451</v>
      </c>
      <c r="M121" s="29"/>
      <c r="N121" s="29"/>
      <c r="O121" s="29"/>
    </row>
    <row r="122" spans="2:15">
      <c r="B122" s="449" t="s">
        <v>56</v>
      </c>
      <c r="C122" s="552"/>
      <c r="D122" s="553"/>
      <c r="E122" s="453">
        <v>-3.2612134183503572</v>
      </c>
      <c r="F122" s="453">
        <v>-3.3462554451402173</v>
      </c>
      <c r="G122" s="453">
        <v>-3.1732919768141143</v>
      </c>
      <c r="H122" s="453">
        <v>-3.1232404745251841</v>
      </c>
      <c r="I122" s="453">
        <v>-3.0767551306224106</v>
      </c>
      <c r="J122" s="453">
        <v>-2.9342177182087767</v>
      </c>
      <c r="K122" s="453">
        <v>-2.8825938479182072</v>
      </c>
      <c r="L122" s="454">
        <v>-2.7237011003750218</v>
      </c>
      <c r="M122" s="29"/>
      <c r="N122" s="29"/>
      <c r="O122" s="29"/>
    </row>
    <row r="123" spans="2:15">
      <c r="B123" s="449" t="s">
        <v>54</v>
      </c>
      <c r="C123" s="552"/>
      <c r="D123" s="553"/>
      <c r="E123" s="453">
        <v>-2.4260972367898193</v>
      </c>
      <c r="F123" s="453">
        <v>-2.3690383662844163</v>
      </c>
      <c r="G123" s="453">
        <v>-2.2433276600060932</v>
      </c>
      <c r="H123" s="453">
        <v>-2.1466020621213828</v>
      </c>
      <c r="I123" s="453">
        <v>-2.174009678716605</v>
      </c>
      <c r="J123" s="453">
        <v>-2.0538927838998693</v>
      </c>
      <c r="K123" s="453">
        <v>-1.9044581231060691</v>
      </c>
      <c r="L123" s="454">
        <v>-1.8008611131009082</v>
      </c>
      <c r="M123" s="29"/>
      <c r="N123" s="29"/>
      <c r="O123" s="29"/>
    </row>
    <row r="124" spans="2:15">
      <c r="B124" s="449" t="s">
        <v>55</v>
      </c>
      <c r="C124" s="552"/>
      <c r="D124" s="553"/>
      <c r="E124" s="453">
        <v>-2.1861012409352765</v>
      </c>
      <c r="F124" s="453">
        <v>-2.3820447425774849</v>
      </c>
      <c r="G124" s="453">
        <v>-2.2418672366929897</v>
      </c>
      <c r="H124" s="453">
        <v>-2.1147812646907029</v>
      </c>
      <c r="I124" s="453">
        <v>-2.0146177086326591</v>
      </c>
      <c r="J124" s="453">
        <v>-1.9421313262105093</v>
      </c>
      <c r="K124" s="453">
        <v>-1.9248856430948595</v>
      </c>
      <c r="L124" s="454">
        <v>-1.8464451304225615</v>
      </c>
      <c r="M124" s="29"/>
      <c r="N124" s="29"/>
      <c r="O124" s="29"/>
    </row>
    <row r="125" spans="2:15">
      <c r="B125" s="449" t="s">
        <v>42</v>
      </c>
      <c r="C125" s="552"/>
      <c r="D125" s="553"/>
      <c r="E125" s="453">
        <v>-1.8633532543800757</v>
      </c>
      <c r="F125" s="453">
        <v>-1.8182980405067262</v>
      </c>
      <c r="G125" s="453">
        <v>-1.83946756302578</v>
      </c>
      <c r="H125" s="453">
        <v>-1.7415973428180247</v>
      </c>
      <c r="I125" s="453">
        <v>-1.6798002111470465</v>
      </c>
      <c r="J125" s="453">
        <v>-1.5974456358596774</v>
      </c>
      <c r="K125" s="453">
        <v>-1.5016396120831343</v>
      </c>
      <c r="L125" s="454">
        <v>-1.4453638876860204</v>
      </c>
      <c r="M125" s="29"/>
      <c r="N125" s="29"/>
      <c r="O125" s="29"/>
    </row>
    <row r="126" spans="2:15">
      <c r="B126" s="449" t="s">
        <v>43</v>
      </c>
      <c r="C126" s="552"/>
      <c r="D126" s="553"/>
      <c r="E126" s="453">
        <v>-2.1317145269512103</v>
      </c>
      <c r="F126" s="453">
        <v>-2.193973633026753</v>
      </c>
      <c r="G126" s="453">
        <v>-1.9869010217130036</v>
      </c>
      <c r="H126" s="453">
        <v>-1.8037552784318813</v>
      </c>
      <c r="I126" s="453">
        <v>-1.7767942495618843</v>
      </c>
      <c r="J126" s="453">
        <v>-1.7901472583807538</v>
      </c>
      <c r="K126" s="453">
        <v>-1.6444113686346382</v>
      </c>
      <c r="L126" s="454">
        <v>-1.467384504290556</v>
      </c>
      <c r="M126" s="29"/>
      <c r="N126" s="29"/>
      <c r="O126" s="29"/>
    </row>
    <row r="127" spans="2:15">
      <c r="B127" s="449" t="s">
        <v>44</v>
      </c>
      <c r="C127" s="552"/>
      <c r="D127" s="553"/>
      <c r="E127" s="453">
        <v>0.16599721814464838</v>
      </c>
      <c r="F127" s="453">
        <v>0.16631900606776751</v>
      </c>
      <c r="G127" s="453">
        <v>0.16554337895881124</v>
      </c>
      <c r="H127" s="453">
        <v>0.16569741136821181</v>
      </c>
      <c r="I127" s="453">
        <v>0.16622630759870036</v>
      </c>
      <c r="J127" s="453">
        <v>0.16380302414374548</v>
      </c>
      <c r="K127" s="453">
        <v>0.16593344617950709</v>
      </c>
      <c r="L127" s="454">
        <v>0.16036688822048883</v>
      </c>
      <c r="M127" s="29"/>
      <c r="N127" s="29"/>
      <c r="O127" s="29"/>
    </row>
    <row r="128" spans="2:15">
      <c r="B128" s="449" t="s">
        <v>45</v>
      </c>
      <c r="C128" s="552"/>
      <c r="D128" s="553"/>
      <c r="E128" s="453">
        <v>0.3648271976377423</v>
      </c>
      <c r="F128" s="453">
        <v>0.37109083837102003</v>
      </c>
      <c r="G128" s="453">
        <v>0.36071859106606846</v>
      </c>
      <c r="H128" s="453">
        <v>0.35927814835295946</v>
      </c>
      <c r="I128" s="453">
        <v>0.3227419487574148</v>
      </c>
      <c r="J128" s="453">
        <v>0.32139075529498529</v>
      </c>
      <c r="K128" s="453">
        <v>0.32876178406363676</v>
      </c>
      <c r="L128" s="454">
        <v>0.31920430794598709</v>
      </c>
      <c r="M128" s="29"/>
      <c r="N128" s="29"/>
      <c r="O128" s="29"/>
    </row>
    <row r="129" spans="2:15">
      <c r="B129" s="449" t="s">
        <v>241</v>
      </c>
      <c r="C129" s="552"/>
      <c r="D129" s="553"/>
      <c r="E129" s="453">
        <v>7.1281196754416492</v>
      </c>
      <c r="F129" s="453">
        <v>6.9674138399666772</v>
      </c>
      <c r="G129" s="453">
        <v>6.2034025893135132</v>
      </c>
      <c r="H129" s="453">
        <v>6.3085978915797085</v>
      </c>
      <c r="I129" s="453">
        <v>6.2376648400128394</v>
      </c>
      <c r="J129" s="453">
        <v>6.4865819943041139</v>
      </c>
      <c r="K129" s="453">
        <v>6.8152516624832584</v>
      </c>
      <c r="L129" s="454">
        <v>6.6271056201039169</v>
      </c>
      <c r="M129" s="29"/>
      <c r="N129" s="29"/>
      <c r="O129" s="29"/>
    </row>
    <row r="130" spans="2:15">
      <c r="B130" s="449" t="s">
        <v>242</v>
      </c>
      <c r="C130" s="552"/>
      <c r="D130" s="553"/>
      <c r="E130" s="453">
        <v>6.5079014730517413</v>
      </c>
      <c r="F130" s="453">
        <v>6.5166167406950333</v>
      </c>
      <c r="G130" s="453">
        <v>6.3292456496722922</v>
      </c>
      <c r="H130" s="453">
        <v>6.4407397408462082</v>
      </c>
      <c r="I130" s="453">
        <v>6.6367331985058957</v>
      </c>
      <c r="J130" s="453">
        <v>6.7568163761394304</v>
      </c>
      <c r="K130" s="453">
        <v>6.6961234445143969</v>
      </c>
      <c r="L130" s="454">
        <v>6.7647427548792596</v>
      </c>
      <c r="M130" s="29"/>
      <c r="N130" s="29"/>
      <c r="O130" s="29"/>
    </row>
    <row r="131" spans="2:15">
      <c r="B131" s="449" t="s">
        <v>243</v>
      </c>
      <c r="C131" s="552"/>
      <c r="D131" s="553"/>
      <c r="E131" s="453">
        <v>3.6763138465229663</v>
      </c>
      <c r="F131" s="453">
        <v>3.6748350873956013</v>
      </c>
      <c r="G131" s="453">
        <v>3.4998529635433906</v>
      </c>
      <c r="H131" s="453">
        <v>3.724685546648324</v>
      </c>
      <c r="I131" s="453">
        <v>3.4121739487309477</v>
      </c>
      <c r="J131" s="453">
        <v>3.4202241027689042</v>
      </c>
      <c r="K131" s="453">
        <v>3.3053549439575329</v>
      </c>
      <c r="L131" s="454">
        <v>3.3633285641010966</v>
      </c>
      <c r="M131" s="29"/>
      <c r="N131" s="29"/>
      <c r="O131" s="29"/>
    </row>
    <row r="132" spans="2:15">
      <c r="B132" s="449" t="s">
        <v>244</v>
      </c>
      <c r="C132" s="552"/>
      <c r="D132" s="553"/>
      <c r="E132" s="453">
        <v>5.3762701961708466</v>
      </c>
      <c r="F132" s="453">
        <v>5.3775969760840585</v>
      </c>
      <c r="G132" s="453">
        <v>5.2618102801807671</v>
      </c>
      <c r="H132" s="453">
        <v>5.360849180672294</v>
      </c>
      <c r="I132" s="453">
        <v>5.2665238228731912</v>
      </c>
      <c r="J132" s="453">
        <v>5.3271179030285305</v>
      </c>
      <c r="K132" s="453">
        <v>5.3223294006601192</v>
      </c>
      <c r="L132" s="454">
        <v>5.5699880746272257</v>
      </c>
      <c r="M132" s="29"/>
      <c r="N132" s="29"/>
      <c r="O132" s="29"/>
    </row>
    <row r="133" spans="2:15">
      <c r="B133" s="449" t="s">
        <v>50</v>
      </c>
      <c r="C133" s="455">
        <v>1.4371556068940596</v>
      </c>
      <c r="D133" s="453">
        <v>1.3718015630879741</v>
      </c>
      <c r="E133" s="453">
        <v>1.3507660107019517</v>
      </c>
      <c r="F133" s="453">
        <v>1.356812198977974</v>
      </c>
      <c r="G133" s="453">
        <v>1.3598136386487443</v>
      </c>
      <c r="H133" s="453">
        <v>1.3501475065962032</v>
      </c>
      <c r="I133" s="453">
        <v>1.3298433305384654</v>
      </c>
      <c r="J133" s="453">
        <v>1.3174540960763355</v>
      </c>
      <c r="K133" s="553"/>
      <c r="L133" s="554"/>
      <c r="M133" s="29"/>
      <c r="N133" s="29"/>
      <c r="O133" s="29"/>
    </row>
    <row r="134" spans="2:15">
      <c r="B134" s="449" t="s">
        <v>51</v>
      </c>
      <c r="C134" s="455">
        <v>1.2224510767557433</v>
      </c>
      <c r="D134" s="453">
        <v>1.2198157429394254</v>
      </c>
      <c r="E134" s="453">
        <v>1.2942164825881293</v>
      </c>
      <c r="F134" s="453">
        <v>1.2596396269108345</v>
      </c>
      <c r="G134" s="453">
        <v>1.2840112184368913</v>
      </c>
      <c r="H134" s="453">
        <v>1.2678511857965422</v>
      </c>
      <c r="I134" s="453">
        <v>1.2592019055105816</v>
      </c>
      <c r="J134" s="453">
        <v>1.257376658609527</v>
      </c>
      <c r="K134" s="553"/>
      <c r="L134" s="554"/>
      <c r="M134" s="29"/>
      <c r="N134" s="29"/>
      <c r="O134" s="29"/>
    </row>
    <row r="135" spans="2:15">
      <c r="B135" s="449" t="s">
        <v>52</v>
      </c>
      <c r="C135" s="455">
        <v>0.82325002294811445</v>
      </c>
      <c r="D135" s="453">
        <v>0.82663571281128501</v>
      </c>
      <c r="E135" s="453">
        <v>0.79640504595610451</v>
      </c>
      <c r="F135" s="453">
        <v>0.78757021450124798</v>
      </c>
      <c r="G135" s="453">
        <v>0.81133252861207505</v>
      </c>
      <c r="H135" s="453">
        <v>0.81064228783969072</v>
      </c>
      <c r="I135" s="453">
        <v>0.80900368952296353</v>
      </c>
      <c r="J135" s="453">
        <v>0.78043276967968189</v>
      </c>
      <c r="K135" s="553"/>
      <c r="L135" s="554"/>
      <c r="M135" s="29"/>
      <c r="N135" s="29"/>
      <c r="O135" s="29"/>
    </row>
    <row r="136" spans="2:15">
      <c r="B136" s="449" t="s">
        <v>53</v>
      </c>
      <c r="C136" s="455">
        <v>1.0893959849781105</v>
      </c>
      <c r="D136" s="453">
        <v>1.027913194554035</v>
      </c>
      <c r="E136" s="453">
        <v>1.0066987144123654</v>
      </c>
      <c r="F136" s="453">
        <v>1.0192350900597893</v>
      </c>
      <c r="G136" s="453">
        <v>1.0341480780318344</v>
      </c>
      <c r="H136" s="453">
        <v>1.0204240792759967</v>
      </c>
      <c r="I136" s="453">
        <v>1.0137739549704501</v>
      </c>
      <c r="J136" s="453">
        <v>0.9898055017218621</v>
      </c>
      <c r="K136" s="553"/>
      <c r="L136" s="554"/>
      <c r="M136" s="29"/>
      <c r="N136" s="29"/>
      <c r="O136" s="29"/>
    </row>
    <row r="137" spans="2:15">
      <c r="B137" s="449" t="s">
        <v>47</v>
      </c>
      <c r="C137" s="455">
        <v>3.0675250143183739</v>
      </c>
      <c r="D137" s="453">
        <v>3.1629219417602221</v>
      </c>
      <c r="E137" s="453">
        <v>3.2156604222069194</v>
      </c>
      <c r="F137" s="453">
        <v>3.1773534622131239</v>
      </c>
      <c r="G137" s="453">
        <v>2.9925267771957293</v>
      </c>
      <c r="H137" s="453">
        <v>2.9953978987575276</v>
      </c>
      <c r="I137" s="453">
        <v>3.008780645638939</v>
      </c>
      <c r="J137" s="453">
        <v>3.0035530345258876</v>
      </c>
      <c r="K137" s="553"/>
      <c r="L137" s="554"/>
      <c r="M137" s="29"/>
      <c r="N137" s="29"/>
      <c r="O137" s="29"/>
    </row>
    <row r="138" spans="2:15">
      <c r="B138" s="449" t="s">
        <v>49</v>
      </c>
      <c r="C138" s="455">
        <v>2.1240897362733717</v>
      </c>
      <c r="D138" s="453">
        <v>2.0350723340362249</v>
      </c>
      <c r="E138" s="453">
        <v>1.9686998072928457</v>
      </c>
      <c r="F138" s="453">
        <v>2.0858456765056492</v>
      </c>
      <c r="G138" s="453">
        <v>2.1150393198028121</v>
      </c>
      <c r="H138" s="453">
        <v>2.0960407823683633</v>
      </c>
      <c r="I138" s="453">
        <v>1.9709648894580449</v>
      </c>
      <c r="J138" s="453">
        <v>1.9558237270696361</v>
      </c>
      <c r="K138" s="553"/>
      <c r="L138" s="554"/>
      <c r="M138" s="29"/>
      <c r="N138" s="29"/>
      <c r="O138" s="29"/>
    </row>
    <row r="139" spans="2:15">
      <c r="B139" s="449" t="s">
        <v>48</v>
      </c>
      <c r="C139" s="455">
        <v>4.3724011747736116</v>
      </c>
      <c r="D139" s="453">
        <v>4.1057641662653896</v>
      </c>
      <c r="E139" s="453">
        <v>4.0545669929819539</v>
      </c>
      <c r="F139" s="453">
        <v>4.1740927460581894</v>
      </c>
      <c r="G139" s="453">
        <v>4.2397101975440528</v>
      </c>
      <c r="H139" s="453">
        <v>4.2461477210751069</v>
      </c>
      <c r="I139" s="453">
        <v>4.1078523076276792</v>
      </c>
      <c r="J139" s="453">
        <v>4.0575944965475035</v>
      </c>
      <c r="K139" s="553"/>
      <c r="L139" s="554"/>
      <c r="M139" s="29"/>
      <c r="N139" s="29"/>
      <c r="O139" s="29"/>
    </row>
    <row r="140" spans="2:15">
      <c r="B140" s="449" t="s">
        <v>46</v>
      </c>
      <c r="C140" s="455">
        <v>1.3982776671905828</v>
      </c>
      <c r="D140" s="453">
        <v>1.3864649866746799</v>
      </c>
      <c r="E140" s="453">
        <v>1.3673040530931269</v>
      </c>
      <c r="F140" s="453">
        <v>1.3493453776780693</v>
      </c>
      <c r="G140" s="453">
        <v>1.3347777856873293</v>
      </c>
      <c r="H140" s="453">
        <v>1.3354887108693174</v>
      </c>
      <c r="I140" s="453">
        <v>1.3597799661606067</v>
      </c>
      <c r="J140" s="453">
        <v>1.3515240072037848</v>
      </c>
      <c r="K140" s="553"/>
      <c r="L140" s="554"/>
      <c r="M140" s="29"/>
      <c r="N140" s="29"/>
      <c r="O140" s="29"/>
    </row>
    <row r="141" spans="2:15">
      <c r="B141" s="449" t="s">
        <v>110</v>
      </c>
      <c r="C141" s="455">
        <v>-1.1295718210052885</v>
      </c>
      <c r="D141" s="453">
        <v>-1.1444007312827333</v>
      </c>
      <c r="E141" s="453">
        <v>-1.1763817360750841</v>
      </c>
      <c r="F141" s="453">
        <v>-1.5927557463957547</v>
      </c>
      <c r="G141" s="453">
        <v>-1.8565667598967899</v>
      </c>
      <c r="H141" s="453">
        <v>-1.2720416735170972</v>
      </c>
      <c r="I141" s="453">
        <v>-1.1039739947823479</v>
      </c>
      <c r="J141" s="453">
        <v>-1.018311326547777</v>
      </c>
      <c r="K141" s="553"/>
      <c r="L141" s="554"/>
      <c r="M141" s="29"/>
      <c r="N141" s="29"/>
      <c r="O141" s="29"/>
    </row>
    <row r="142" spans="2:15">
      <c r="B142" s="449" t="s">
        <v>111</v>
      </c>
      <c r="C142" s="455">
        <v>-0.43181154987245485</v>
      </c>
      <c r="D142" s="453">
        <v>-0.39947195996305995</v>
      </c>
      <c r="E142" s="453">
        <v>-0.34734317043598018</v>
      </c>
      <c r="F142" s="453">
        <v>-0.3193206524905472</v>
      </c>
      <c r="G142" s="453">
        <v>-0.31265626882301373</v>
      </c>
      <c r="H142" s="453">
        <v>-0.30799379948941219</v>
      </c>
      <c r="I142" s="453">
        <v>-0.32570922921081308</v>
      </c>
      <c r="J142" s="453">
        <v>-0.31552026220892354</v>
      </c>
      <c r="K142" s="553"/>
      <c r="L142" s="554"/>
      <c r="M142" s="29"/>
      <c r="N142" s="29"/>
      <c r="O142" s="29"/>
    </row>
    <row r="143" spans="2:15">
      <c r="B143" s="449" t="s">
        <v>108</v>
      </c>
      <c r="C143" s="455">
        <v>15.168246288518162</v>
      </c>
      <c r="D143" s="453">
        <v>16.275110005972994</v>
      </c>
      <c r="E143" s="453">
        <v>15.614702904478012</v>
      </c>
      <c r="F143" s="453">
        <v>14.911674359737152</v>
      </c>
      <c r="G143" s="453">
        <v>13.033415757853545</v>
      </c>
      <c r="H143" s="453">
        <v>12.556067765830047</v>
      </c>
      <c r="I143" s="453">
        <v>11.285100906339711</v>
      </c>
      <c r="J143" s="453">
        <v>9.8268179419485548</v>
      </c>
      <c r="K143" s="553"/>
      <c r="L143" s="554"/>
      <c r="M143" s="29"/>
      <c r="N143" s="29"/>
      <c r="O143" s="29"/>
    </row>
    <row r="144" spans="2:15">
      <c r="B144" s="449" t="s">
        <v>109</v>
      </c>
      <c r="C144" s="455">
        <v>0.93219394583370063</v>
      </c>
      <c r="D144" s="453">
        <v>0.89969793099769957</v>
      </c>
      <c r="E144" s="453">
        <v>0.87783267686821997</v>
      </c>
      <c r="F144" s="453">
        <v>0.87232109317784756</v>
      </c>
      <c r="G144" s="453">
        <v>0.89875958568159287</v>
      </c>
      <c r="H144" s="453">
        <v>0.82801710222961222</v>
      </c>
      <c r="I144" s="453">
        <v>0.88417658562860901</v>
      </c>
      <c r="J144" s="453">
        <v>0.89982415652833247</v>
      </c>
      <c r="K144" s="553"/>
      <c r="L144" s="554"/>
      <c r="M144" s="29"/>
      <c r="N144" s="29"/>
      <c r="O144" s="29"/>
    </row>
    <row r="145" spans="1:15">
      <c r="B145" s="449" t="s">
        <v>57</v>
      </c>
      <c r="C145" s="455">
        <v>10.952751093909903</v>
      </c>
      <c r="D145" s="453">
        <v>1.3412683602121493</v>
      </c>
      <c r="E145" s="453">
        <v>22.190179414419269</v>
      </c>
      <c r="F145" s="453">
        <v>7.0488483253947072</v>
      </c>
      <c r="G145" s="453">
        <v>6.9020695692988534</v>
      </c>
      <c r="H145" s="453">
        <v>6.9425238085580094</v>
      </c>
      <c r="I145" s="453">
        <v>7.0785069781779111</v>
      </c>
      <c r="J145" s="453">
        <v>5.2688524500291916</v>
      </c>
      <c r="K145" s="553"/>
      <c r="L145" s="554"/>
      <c r="M145" s="29"/>
      <c r="N145" s="29"/>
      <c r="O145" s="29"/>
    </row>
    <row r="146" spans="1:15">
      <c r="B146" s="450" t="s">
        <v>58</v>
      </c>
      <c r="C146" s="456">
        <v>4.7850556060781999</v>
      </c>
      <c r="D146" s="457">
        <v>4.9736597194598335</v>
      </c>
      <c r="E146" s="457">
        <v>5.6988662496343032</v>
      </c>
      <c r="F146" s="457">
        <v>3.7921077312788807</v>
      </c>
      <c r="G146" s="457">
        <v>2.8512563802087829</v>
      </c>
      <c r="H146" s="457">
        <v>2.8799765245720623</v>
      </c>
      <c r="I146" s="457">
        <v>2.9074703511454074</v>
      </c>
      <c r="J146" s="457">
        <v>2.8191074376225309</v>
      </c>
      <c r="K146" s="555"/>
      <c r="L146" s="556"/>
      <c r="M146" s="29"/>
      <c r="N146" s="29"/>
      <c r="O146" s="29"/>
    </row>
    <row r="147" spans="1:15">
      <c r="B147" s="29"/>
      <c r="C147" s="29"/>
      <c r="D147" s="29"/>
      <c r="E147" s="29"/>
      <c r="F147" s="29"/>
      <c r="G147" s="29"/>
      <c r="H147" s="29"/>
      <c r="I147" s="29"/>
      <c r="J147" s="29"/>
      <c r="K147" s="29"/>
      <c r="L147" s="29"/>
      <c r="M147" s="29"/>
      <c r="N147" s="29"/>
      <c r="O147" s="29"/>
    </row>
    <row r="148" spans="1:15">
      <c r="B148" s="389"/>
      <c r="C148" s="355"/>
      <c r="D148" s="355"/>
      <c r="E148" s="355"/>
      <c r="F148" s="355"/>
      <c r="G148" s="355"/>
      <c r="H148" s="355"/>
      <c r="I148" s="355"/>
      <c r="J148" s="355"/>
      <c r="K148" s="29"/>
      <c r="L148" s="29"/>
      <c r="M148" s="29"/>
    </row>
    <row r="149" spans="1:15">
      <c r="B149" s="412" t="s">
        <v>170</v>
      </c>
      <c r="C149" s="410"/>
      <c r="D149" s="410"/>
      <c r="E149" s="410"/>
      <c r="F149" s="410"/>
      <c r="G149" s="410"/>
      <c r="H149" s="410"/>
      <c r="I149" s="410"/>
      <c r="J149" s="410"/>
      <c r="K149" s="410"/>
      <c r="L149" s="411"/>
    </row>
    <row r="150" spans="1:15" ht="14.25" customHeight="1">
      <c r="A150" s="204"/>
      <c r="B150" s="446" t="s">
        <v>387</v>
      </c>
      <c r="C150" s="447"/>
      <c r="D150" s="447"/>
      <c r="E150" s="447"/>
      <c r="F150" s="445"/>
      <c r="G150" s="445"/>
      <c r="H150" s="445"/>
      <c r="I150" s="445"/>
      <c r="J150" s="445"/>
      <c r="K150" s="445"/>
      <c r="L150" s="445"/>
      <c r="M150" s="445"/>
      <c r="N150" s="445"/>
    </row>
    <row r="151" spans="1:15" s="29" customFormat="1" ht="14.25" customHeight="1">
      <c r="A151" s="787"/>
      <c r="B151" s="788"/>
      <c r="C151" s="789"/>
      <c r="D151" s="789"/>
      <c r="E151" s="789"/>
      <c r="F151" s="790"/>
      <c r="G151" s="790"/>
      <c r="H151" s="790"/>
      <c r="I151" s="790"/>
      <c r="J151" s="790"/>
      <c r="K151" s="790"/>
      <c r="L151" s="790"/>
      <c r="M151" s="790"/>
      <c r="N151" s="790"/>
    </row>
    <row r="152" spans="1:15">
      <c r="A152" s="202"/>
      <c r="B152" s="791" t="s">
        <v>393</v>
      </c>
      <c r="C152" s="205"/>
      <c r="D152" s="205"/>
      <c r="E152" s="792" t="b">
        <v>0</v>
      </c>
      <c r="F152" s="936" t="str">
        <f>B162</f>
        <v>ED</v>
      </c>
      <c r="G152" s="793"/>
    </row>
    <row r="153" spans="1:15">
      <c r="A153" s="202"/>
      <c r="B153" s="808" t="str">
        <f>CHOOSE(MATCH(TRUE,$E$152:$E$159,0),B163,B173,B183,E183,B193,E193,B203,E203)&amp;""</f>
        <v>Network Reliability Incentive</v>
      </c>
      <c r="C153" s="205"/>
      <c r="D153" s="205"/>
      <c r="E153" s="794" t="b">
        <v>0</v>
      </c>
      <c r="F153" s="355" t="str">
        <f>B172</f>
        <v>GD</v>
      </c>
      <c r="G153" s="201"/>
    </row>
    <row r="154" spans="1:15">
      <c r="A154" s="202"/>
      <c r="B154" s="809" t="str">
        <f t="shared" ref="B154:B160" si="16">CHOOSE(MATCH(TRUE,$E$152:$E$159,0),B164,B174,B184,E184,B194,E194,B204,E204)&amp;""</f>
        <v>Stakeholder Satisfaction Output</v>
      </c>
      <c r="C154" s="205"/>
      <c r="D154" s="205"/>
      <c r="E154" s="794" t="b">
        <v>0</v>
      </c>
      <c r="F154" s="807" t="str">
        <f>B182</f>
        <v>NGGT (TO)</v>
      </c>
      <c r="G154" s="201"/>
    </row>
    <row r="155" spans="1:15">
      <c r="A155" s="202"/>
      <c r="B155" s="809" t="str">
        <f t="shared" si="16"/>
        <v>SF6 Emissions</v>
      </c>
      <c r="C155" s="205"/>
      <c r="D155" s="205"/>
      <c r="E155" s="794" t="b">
        <v>0</v>
      </c>
      <c r="F155" s="795" t="str">
        <f>E182</f>
        <v>NGGT (SO)</v>
      </c>
      <c r="G155" s="201"/>
    </row>
    <row r="156" spans="1:15">
      <c r="A156" s="202"/>
      <c r="B156" s="809" t="str">
        <f t="shared" si="16"/>
        <v>Environmental Discretionary Reward</v>
      </c>
      <c r="C156" s="205"/>
      <c r="D156" s="205"/>
      <c r="E156" s="794" t="b">
        <v>0</v>
      </c>
      <c r="F156" s="795" t="str">
        <f>B192</f>
        <v>NGET (TO)</v>
      </c>
      <c r="G156" s="201"/>
    </row>
    <row r="157" spans="1:15" ht="25.5">
      <c r="A157" s="202"/>
      <c r="B157" s="810" t="str">
        <f t="shared" si="16"/>
        <v xml:space="preserve">Performance re offers of timely connection </v>
      </c>
      <c r="C157" s="205"/>
      <c r="D157" s="205"/>
      <c r="E157" s="794" t="b">
        <v>0</v>
      </c>
      <c r="F157" s="795" t="str">
        <f>E192</f>
        <v>NGET (SO)</v>
      </c>
      <c r="G157" s="201"/>
    </row>
    <row r="158" spans="1:15">
      <c r="A158" s="202"/>
      <c r="B158" s="810" t="str">
        <f t="shared" si="16"/>
        <v/>
      </c>
      <c r="C158" s="205"/>
      <c r="D158" s="205"/>
      <c r="E158" s="794" t="b">
        <v>1</v>
      </c>
      <c r="F158" s="795" t="str">
        <f>B202</f>
        <v>SPT</v>
      </c>
      <c r="G158" s="201"/>
    </row>
    <row r="159" spans="1:15">
      <c r="A159" s="202"/>
      <c r="B159" s="810" t="str">
        <f t="shared" si="16"/>
        <v/>
      </c>
      <c r="C159" s="205"/>
      <c r="D159" s="205"/>
      <c r="E159" s="796" t="b">
        <v>0</v>
      </c>
      <c r="F159" s="797" t="str">
        <f>E202</f>
        <v>SHET</v>
      </c>
      <c r="G159" s="294"/>
    </row>
    <row r="160" spans="1:15">
      <c r="A160" s="202"/>
      <c r="B160" s="205" t="str">
        <f t="shared" si="16"/>
        <v/>
      </c>
      <c r="C160" s="205"/>
      <c r="D160" s="205"/>
      <c r="E160" s="57"/>
      <c r="F160" s="795"/>
      <c r="G160" s="40"/>
    </row>
    <row r="161" spans="1:7">
      <c r="A161" s="202"/>
      <c r="B161" s="205"/>
      <c r="C161" s="205"/>
      <c r="D161" s="205"/>
      <c r="E161" s="57"/>
      <c r="F161" s="795"/>
      <c r="G161" s="40"/>
    </row>
    <row r="162" spans="1:7" ht="12" customHeight="1">
      <c r="A162" s="202"/>
      <c r="B162" s="961" t="s">
        <v>168</v>
      </c>
      <c r="C162" s="957"/>
      <c r="D162" s="205"/>
      <c r="E162" s="205"/>
    </row>
    <row r="163" spans="1:7">
      <c r="A163" s="202"/>
      <c r="B163" s="962" t="s">
        <v>388</v>
      </c>
      <c r="C163" s="963"/>
      <c r="D163" s="205"/>
      <c r="E163" s="205"/>
    </row>
    <row r="164" spans="1:7">
      <c r="A164" s="202"/>
      <c r="B164" s="962" t="s">
        <v>389</v>
      </c>
      <c r="C164" s="963"/>
      <c r="D164" s="205"/>
      <c r="E164" s="205"/>
    </row>
    <row r="165" spans="1:7">
      <c r="A165" s="202"/>
      <c r="B165" s="964" t="s">
        <v>390</v>
      </c>
      <c r="C165" s="965"/>
      <c r="D165" s="205"/>
      <c r="E165" s="205"/>
    </row>
    <row r="166" spans="1:7">
      <c r="A166" s="202"/>
      <c r="B166" s="964" t="s">
        <v>391</v>
      </c>
      <c r="C166" s="965"/>
      <c r="D166" s="205"/>
      <c r="E166" s="205"/>
    </row>
    <row r="167" spans="1:7">
      <c r="A167" s="202"/>
      <c r="B167" s="964" t="s">
        <v>392</v>
      </c>
      <c r="C167" s="965"/>
      <c r="D167" s="205"/>
      <c r="E167" s="205"/>
    </row>
    <row r="168" spans="1:7">
      <c r="A168" s="202"/>
      <c r="B168" s="964"/>
      <c r="C168" s="965"/>
      <c r="D168" s="205"/>
      <c r="E168" s="205"/>
    </row>
    <row r="169" spans="1:7">
      <c r="A169" s="202"/>
      <c r="B169" s="964"/>
      <c r="C169" s="965"/>
      <c r="D169" s="205"/>
      <c r="E169" s="205"/>
    </row>
    <row r="170" spans="1:7">
      <c r="A170" s="202"/>
      <c r="B170" s="205"/>
      <c r="C170" s="205"/>
      <c r="D170" s="205"/>
      <c r="E170" s="205"/>
    </row>
    <row r="171" spans="1:7">
      <c r="A171" s="202"/>
      <c r="B171" s="205"/>
      <c r="C171" s="205"/>
      <c r="D171" s="205"/>
      <c r="E171" s="205"/>
    </row>
    <row r="172" spans="1:7">
      <c r="A172" s="202"/>
      <c r="B172" s="961" t="s">
        <v>169</v>
      </c>
      <c r="C172" s="957"/>
      <c r="D172" s="205"/>
      <c r="E172" s="205"/>
    </row>
    <row r="173" spans="1:7" ht="12.75" customHeight="1">
      <c r="A173" s="202"/>
      <c r="B173" s="958" t="s">
        <v>219</v>
      </c>
      <c r="C173" s="960"/>
      <c r="D173" s="205"/>
      <c r="E173" s="205"/>
    </row>
    <row r="174" spans="1:7" ht="12.75" customHeight="1">
      <c r="A174" s="202"/>
      <c r="B174" s="952" t="s">
        <v>220</v>
      </c>
      <c r="C174" s="954"/>
      <c r="D174" s="205"/>
      <c r="E174" s="205"/>
    </row>
    <row r="175" spans="1:7" ht="12.75" customHeight="1">
      <c r="A175" s="202"/>
      <c r="B175" s="952" t="s">
        <v>221</v>
      </c>
      <c r="C175" s="954"/>
      <c r="D175" s="205"/>
      <c r="E175" s="205"/>
    </row>
    <row r="176" spans="1:7" ht="12.75" customHeight="1">
      <c r="A176" s="202"/>
      <c r="B176" s="952" t="s">
        <v>222</v>
      </c>
      <c r="C176" s="954"/>
      <c r="D176" s="205"/>
      <c r="E176" s="205"/>
    </row>
    <row r="177" spans="1:9" ht="12.75" customHeight="1">
      <c r="A177" s="202"/>
      <c r="B177" s="949" t="s">
        <v>303</v>
      </c>
      <c r="C177" s="951"/>
      <c r="D177" s="205"/>
      <c r="E177" s="205"/>
    </row>
    <row r="178" spans="1:9" ht="12.75" customHeight="1">
      <c r="A178" s="202"/>
      <c r="B178" s="949"/>
      <c r="C178" s="951"/>
      <c r="D178" s="205"/>
      <c r="E178" s="205"/>
    </row>
    <row r="179" spans="1:9" ht="12.75" customHeight="1">
      <c r="A179" s="202"/>
      <c r="B179" s="949"/>
      <c r="C179" s="951"/>
      <c r="D179" s="205"/>
      <c r="E179" s="205"/>
    </row>
    <row r="180" spans="1:9">
      <c r="A180" s="202"/>
      <c r="B180" s="205"/>
      <c r="C180" s="205"/>
      <c r="D180" s="205"/>
      <c r="E180" s="205"/>
    </row>
    <row r="181" spans="1:9">
      <c r="A181" s="202"/>
      <c r="B181" s="205"/>
      <c r="C181" s="205"/>
      <c r="D181" s="205"/>
      <c r="E181" s="205"/>
    </row>
    <row r="182" spans="1:9">
      <c r="A182" s="202"/>
      <c r="B182" s="955" t="str">
        <f>B95</f>
        <v>NGGT (TO)</v>
      </c>
      <c r="C182" s="987"/>
      <c r="D182" s="205"/>
      <c r="E182" s="955" t="str">
        <f>B96</f>
        <v>NGGT (SO)</v>
      </c>
      <c r="F182" s="956"/>
      <c r="G182" s="956"/>
      <c r="H182" s="956"/>
      <c r="I182" s="957"/>
    </row>
    <row r="183" spans="1:9" ht="12.4" customHeight="1">
      <c r="A183" s="202"/>
      <c r="B183" s="958" t="s">
        <v>215</v>
      </c>
      <c r="C183" s="960"/>
      <c r="D183" s="205"/>
      <c r="E183" s="952" t="s">
        <v>538</v>
      </c>
      <c r="F183" s="953" t="s">
        <v>538</v>
      </c>
      <c r="G183" s="953" t="s">
        <v>538</v>
      </c>
      <c r="H183" s="953" t="s">
        <v>538</v>
      </c>
      <c r="I183" s="954" t="s">
        <v>538</v>
      </c>
    </row>
    <row r="184" spans="1:9" ht="12.4" customHeight="1">
      <c r="A184" s="202"/>
      <c r="B184" s="952" t="s">
        <v>223</v>
      </c>
      <c r="C184" s="954"/>
      <c r="D184" s="205"/>
      <c r="E184" s="952" t="s">
        <v>539</v>
      </c>
      <c r="F184" s="953" t="s">
        <v>539</v>
      </c>
      <c r="G184" s="953" t="s">
        <v>539</v>
      </c>
      <c r="H184" s="953" t="s">
        <v>539</v>
      </c>
      <c r="I184" s="954" t="s">
        <v>539</v>
      </c>
    </row>
    <row r="185" spans="1:9" ht="12.4" customHeight="1">
      <c r="A185" s="202"/>
      <c r="B185" s="952"/>
      <c r="C185" s="954"/>
      <c r="D185" s="205"/>
      <c r="E185" s="952" t="s">
        <v>540</v>
      </c>
      <c r="F185" s="953" t="s">
        <v>540</v>
      </c>
      <c r="G185" s="953" t="s">
        <v>540</v>
      </c>
      <c r="H185" s="953" t="s">
        <v>540</v>
      </c>
      <c r="I185" s="954" t="s">
        <v>540</v>
      </c>
    </row>
    <row r="186" spans="1:9" ht="12.4" customHeight="1">
      <c r="A186" s="202"/>
      <c r="B186" s="952"/>
      <c r="C186" s="954"/>
      <c r="D186" s="205"/>
      <c r="E186" s="952" t="s">
        <v>541</v>
      </c>
      <c r="F186" s="953" t="s">
        <v>541</v>
      </c>
      <c r="G186" s="953" t="s">
        <v>541</v>
      </c>
      <c r="H186" s="953" t="s">
        <v>541</v>
      </c>
      <c r="I186" s="954" t="s">
        <v>541</v>
      </c>
    </row>
    <row r="187" spans="1:9" ht="12.4" customHeight="1">
      <c r="A187" s="202"/>
      <c r="B187" s="949"/>
      <c r="C187" s="951"/>
      <c r="D187" s="205"/>
      <c r="E187" s="952" t="s">
        <v>542</v>
      </c>
      <c r="F187" s="953" t="s">
        <v>542</v>
      </c>
      <c r="G187" s="953" t="s">
        <v>542</v>
      </c>
      <c r="H187" s="953" t="s">
        <v>542</v>
      </c>
      <c r="I187" s="954" t="s">
        <v>542</v>
      </c>
    </row>
    <row r="188" spans="1:9" ht="12.4" customHeight="1">
      <c r="A188" s="202"/>
      <c r="B188" s="949"/>
      <c r="C188" s="951"/>
      <c r="D188" s="205"/>
      <c r="E188" s="952" t="s">
        <v>543</v>
      </c>
      <c r="F188" s="953" t="s">
        <v>543</v>
      </c>
      <c r="G188" s="953" t="s">
        <v>543</v>
      </c>
      <c r="H188" s="953" t="s">
        <v>543</v>
      </c>
      <c r="I188" s="954" t="s">
        <v>543</v>
      </c>
    </row>
    <row r="189" spans="1:9" ht="12.4" customHeight="1">
      <c r="A189" s="202"/>
      <c r="B189" s="949"/>
      <c r="C189" s="951"/>
      <c r="D189" s="205"/>
      <c r="E189" s="952" t="s">
        <v>544</v>
      </c>
      <c r="F189" s="953" t="s">
        <v>544</v>
      </c>
      <c r="G189" s="953" t="s">
        <v>544</v>
      </c>
      <c r="H189" s="953" t="s">
        <v>544</v>
      </c>
      <c r="I189" s="954" t="s">
        <v>544</v>
      </c>
    </row>
    <row r="190" spans="1:9">
      <c r="A190" s="202"/>
      <c r="B190" s="205"/>
      <c r="C190" s="205"/>
      <c r="D190" s="205"/>
      <c r="E190" s="205"/>
    </row>
    <row r="191" spans="1:9">
      <c r="A191" s="202"/>
      <c r="B191" s="205"/>
      <c r="C191" s="205"/>
      <c r="D191" s="205"/>
      <c r="E191" s="205"/>
    </row>
    <row r="192" spans="1:9">
      <c r="A192" s="202"/>
      <c r="B192" s="955" t="str">
        <f>B97</f>
        <v>NGET (TO)</v>
      </c>
      <c r="C192" s="987"/>
      <c r="D192" s="205"/>
      <c r="E192" s="955" t="str">
        <f>B98</f>
        <v>NGET (SO)</v>
      </c>
      <c r="F192" s="956"/>
      <c r="G192" s="956"/>
      <c r="H192" s="956"/>
      <c r="I192" s="957"/>
    </row>
    <row r="193" spans="1:9" ht="12.75" customHeight="1">
      <c r="A193" s="202"/>
      <c r="B193" s="958" t="s">
        <v>214</v>
      </c>
      <c r="C193" s="960"/>
      <c r="D193" s="205"/>
      <c r="E193" s="952" t="s">
        <v>545</v>
      </c>
      <c r="F193" s="953" t="s">
        <v>545</v>
      </c>
      <c r="G193" s="953" t="s">
        <v>545</v>
      </c>
      <c r="H193" s="953" t="s">
        <v>545</v>
      </c>
      <c r="I193" s="954" t="s">
        <v>545</v>
      </c>
    </row>
    <row r="194" spans="1:9" ht="12.75" customHeight="1">
      <c r="A194" s="202"/>
      <c r="B194" s="952" t="s">
        <v>215</v>
      </c>
      <c r="C194" s="954"/>
      <c r="D194" s="205"/>
      <c r="E194" s="952" t="s">
        <v>546</v>
      </c>
      <c r="F194" s="953" t="s">
        <v>546</v>
      </c>
      <c r="G194" s="953" t="s">
        <v>546</v>
      </c>
      <c r="H194" s="953" t="s">
        <v>546</v>
      </c>
      <c r="I194" s="954" t="s">
        <v>546</v>
      </c>
    </row>
    <row r="195" spans="1:9" ht="12.75" customHeight="1">
      <c r="A195" s="202"/>
      <c r="B195" s="952" t="s">
        <v>216</v>
      </c>
      <c r="C195" s="954"/>
      <c r="D195" s="205"/>
      <c r="E195" s="952" t="s">
        <v>547</v>
      </c>
      <c r="F195" s="953" t="s">
        <v>547</v>
      </c>
      <c r="G195" s="953" t="s">
        <v>547</v>
      </c>
      <c r="H195" s="953" t="s">
        <v>547</v>
      </c>
      <c r="I195" s="954" t="s">
        <v>547</v>
      </c>
    </row>
    <row r="196" spans="1:9" ht="12.75" customHeight="1">
      <c r="A196" s="202"/>
      <c r="B196" s="952" t="s">
        <v>217</v>
      </c>
      <c r="C196" s="954"/>
      <c r="D196" s="205"/>
      <c r="E196" s="952"/>
      <c r="F196" s="953"/>
      <c r="G196" s="953"/>
      <c r="H196" s="953"/>
      <c r="I196" s="954"/>
    </row>
    <row r="197" spans="1:9" ht="12.75" customHeight="1">
      <c r="A197" s="202"/>
      <c r="B197" s="949"/>
      <c r="C197" s="951"/>
      <c r="D197" s="205"/>
      <c r="E197" s="949"/>
      <c r="F197" s="950"/>
      <c r="G197" s="950"/>
      <c r="H197" s="950"/>
      <c r="I197" s="951"/>
    </row>
    <row r="198" spans="1:9" ht="12.75" customHeight="1">
      <c r="A198" s="202"/>
      <c r="B198" s="949"/>
      <c r="C198" s="951"/>
      <c r="D198" s="205"/>
      <c r="E198" s="949"/>
      <c r="F198" s="950"/>
      <c r="G198" s="950"/>
      <c r="H198" s="950"/>
      <c r="I198" s="951"/>
    </row>
    <row r="199" spans="1:9" ht="12.75" customHeight="1">
      <c r="A199" s="202"/>
      <c r="B199" s="949"/>
      <c r="C199" s="951"/>
      <c r="D199" s="205"/>
      <c r="E199" s="949"/>
      <c r="F199" s="950"/>
      <c r="G199" s="950"/>
      <c r="H199" s="950"/>
      <c r="I199" s="951"/>
    </row>
    <row r="200" spans="1:9" s="29" customFormat="1" ht="12.75" customHeight="1">
      <c r="A200" s="784"/>
      <c r="B200" s="784"/>
      <c r="C200" s="784"/>
      <c r="D200" s="785"/>
      <c r="E200" s="786"/>
      <c r="F200" s="786"/>
      <c r="G200" s="786"/>
      <c r="H200" s="786"/>
      <c r="I200" s="786"/>
    </row>
    <row r="201" spans="1:9" s="29" customFormat="1" ht="12.75" customHeight="1">
      <c r="A201" s="784"/>
      <c r="B201" s="784"/>
      <c r="C201" s="784"/>
      <c r="D201" s="785"/>
      <c r="E201" s="786"/>
      <c r="F201" s="786"/>
      <c r="G201" s="786"/>
      <c r="H201" s="786"/>
      <c r="I201" s="786"/>
    </row>
    <row r="202" spans="1:9">
      <c r="A202" s="202"/>
      <c r="B202" s="955" t="str">
        <f>B145</f>
        <v>SPT</v>
      </c>
      <c r="C202" s="987"/>
      <c r="D202" s="205"/>
      <c r="E202" s="955" t="str">
        <f>B100</f>
        <v>SHET</v>
      </c>
      <c r="F202" s="956"/>
      <c r="G202" s="956"/>
      <c r="H202" s="956"/>
      <c r="I202" s="957"/>
    </row>
    <row r="203" spans="1:9" ht="12.75" customHeight="1">
      <c r="A203" s="202"/>
      <c r="B203" s="958" t="s">
        <v>214</v>
      </c>
      <c r="C203" s="960"/>
      <c r="D203" s="205"/>
      <c r="E203" s="958" t="s">
        <v>214</v>
      </c>
      <c r="F203" s="959"/>
      <c r="G203" s="959"/>
      <c r="H203" s="959"/>
      <c r="I203" s="960"/>
    </row>
    <row r="204" spans="1:9" ht="12.75" customHeight="1">
      <c r="A204" s="202"/>
      <c r="B204" s="952" t="s">
        <v>215</v>
      </c>
      <c r="C204" s="954"/>
      <c r="D204" s="205"/>
      <c r="E204" s="952" t="s">
        <v>215</v>
      </c>
      <c r="F204" s="953"/>
      <c r="G204" s="953"/>
      <c r="H204" s="953"/>
      <c r="I204" s="954"/>
    </row>
    <row r="205" spans="1:9" ht="12.75" customHeight="1">
      <c r="A205" s="202"/>
      <c r="B205" s="952" t="s">
        <v>216</v>
      </c>
      <c r="C205" s="954"/>
      <c r="D205" s="205"/>
      <c r="E205" s="952" t="s">
        <v>216</v>
      </c>
      <c r="F205" s="953"/>
      <c r="G205" s="953"/>
      <c r="H205" s="953"/>
      <c r="I205" s="954"/>
    </row>
    <row r="206" spans="1:9" ht="12.75" customHeight="1">
      <c r="A206" s="202"/>
      <c r="B206" s="952" t="s">
        <v>217</v>
      </c>
      <c r="C206" s="954"/>
      <c r="D206" s="205"/>
      <c r="E206" s="952" t="s">
        <v>217</v>
      </c>
      <c r="F206" s="953"/>
      <c r="G206" s="953"/>
      <c r="H206" s="953"/>
      <c r="I206" s="954"/>
    </row>
    <row r="207" spans="1:9" ht="12.75" customHeight="1">
      <c r="A207" s="202"/>
      <c r="B207" s="949" t="s">
        <v>218</v>
      </c>
      <c r="C207" s="951"/>
      <c r="D207" s="205"/>
      <c r="E207" s="949" t="s">
        <v>218</v>
      </c>
      <c r="F207" s="950"/>
      <c r="G207" s="950"/>
      <c r="H207" s="950"/>
      <c r="I207" s="951"/>
    </row>
    <row r="208" spans="1:9" ht="12.75" customHeight="1">
      <c r="A208" s="202"/>
      <c r="B208" s="949"/>
      <c r="C208" s="951"/>
      <c r="D208" s="205"/>
      <c r="E208" s="949"/>
      <c r="F208" s="950"/>
      <c r="G208" s="950"/>
      <c r="H208" s="950"/>
      <c r="I208" s="951"/>
    </row>
    <row r="209" spans="1:14" ht="12.75" customHeight="1">
      <c r="A209" s="202"/>
      <c r="B209" s="949"/>
      <c r="C209" s="951"/>
      <c r="D209" s="205"/>
      <c r="E209" s="949"/>
      <c r="F209" s="950"/>
      <c r="G209" s="950"/>
      <c r="H209" s="950"/>
      <c r="I209" s="951"/>
    </row>
    <row r="210" spans="1:14">
      <c r="A210" s="202"/>
      <c r="D210" s="205"/>
      <c r="E210" s="205"/>
    </row>
    <row r="211" spans="1:14">
      <c r="A211" s="202"/>
      <c r="D211" s="205"/>
      <c r="E211" s="205"/>
    </row>
    <row r="212" spans="1:14" ht="12.75" customHeight="1">
      <c r="A212" s="202"/>
      <c r="B212" s="986" t="s">
        <v>236</v>
      </c>
      <c r="C212" s="986"/>
      <c r="D212" s="986"/>
      <c r="E212" s="282"/>
      <c r="F212" s="216"/>
      <c r="G212" s="216"/>
      <c r="H212" s="216"/>
      <c r="I212" s="216"/>
      <c r="J212" s="216"/>
      <c r="K212" s="216"/>
      <c r="L212" s="216"/>
      <c r="M212" s="216"/>
      <c r="N212" s="216"/>
    </row>
    <row r="213" spans="1:14">
      <c r="A213" s="202"/>
      <c r="B213" s="205"/>
      <c r="C213" s="205"/>
      <c r="D213" s="205"/>
      <c r="E213" s="205"/>
    </row>
    <row r="214" spans="1:14" ht="25.5">
      <c r="A214" s="202"/>
      <c r="B214" s="207" t="s">
        <v>126</v>
      </c>
      <c r="C214" s="206" t="s">
        <v>204</v>
      </c>
      <c r="D214" s="205"/>
      <c r="E214" s="205"/>
    </row>
    <row r="215" spans="1:14" ht="25.5">
      <c r="A215" s="202"/>
      <c r="B215" s="208" t="s">
        <v>127</v>
      </c>
      <c r="C215" s="287" t="s">
        <v>205</v>
      </c>
      <c r="D215" s="205"/>
      <c r="E215" s="205"/>
    </row>
    <row r="216" spans="1:14">
      <c r="B216" s="302"/>
      <c r="C216" s="40"/>
      <c r="D216" s="40"/>
      <c r="E216" s="40"/>
      <c r="F216" s="40"/>
      <c r="G216" s="40"/>
      <c r="H216" s="40"/>
      <c r="I216" s="40"/>
      <c r="J216" s="40"/>
    </row>
    <row r="217" spans="1:14">
      <c r="B217" s="203"/>
      <c r="I217" s="65"/>
    </row>
    <row r="218" spans="1:14">
      <c r="B218" s="800" t="s">
        <v>395</v>
      </c>
      <c r="I218" s="65"/>
    </row>
    <row r="219" spans="1:14">
      <c r="B219" s="802" t="s">
        <v>285</v>
      </c>
    </row>
    <row r="220" spans="1:14">
      <c r="B220" s="803" t="s">
        <v>284</v>
      </c>
    </row>
    <row r="221" spans="1:14">
      <c r="B221" s="806" t="s">
        <v>282</v>
      </c>
    </row>
    <row r="222" spans="1:14">
      <c r="B222" s="804"/>
    </row>
    <row r="223" spans="1:14">
      <c r="B223" s="212"/>
    </row>
    <row r="224" spans="1:14">
      <c r="B224" s="801" t="s">
        <v>280</v>
      </c>
    </row>
    <row r="225" spans="2:2">
      <c r="B225" s="805" t="s">
        <v>396</v>
      </c>
    </row>
    <row r="226" spans="2:2">
      <c r="B226" s="803" t="s">
        <v>397</v>
      </c>
    </row>
    <row r="227" spans="2:2">
      <c r="B227" s="803" t="s">
        <v>291</v>
      </c>
    </row>
    <row r="228" spans="2:2">
      <c r="B228" s="803" t="s">
        <v>398</v>
      </c>
    </row>
    <row r="229" spans="2:2">
      <c r="B229" s="803" t="s">
        <v>399</v>
      </c>
    </row>
    <row r="230" spans="2:2">
      <c r="B230" s="803" t="s">
        <v>283</v>
      </c>
    </row>
    <row r="231" spans="2:2">
      <c r="B231" s="803" t="s">
        <v>400</v>
      </c>
    </row>
    <row r="232" spans="2:2">
      <c r="B232" s="803"/>
    </row>
    <row r="233" spans="2:2">
      <c r="B233" s="804"/>
    </row>
    <row r="234" spans="2:2">
      <c r="B234" s="212"/>
    </row>
    <row r="235" spans="2:2">
      <c r="B235" s="801" t="s">
        <v>290</v>
      </c>
    </row>
    <row r="236" spans="2:2">
      <c r="B236" s="805" t="s">
        <v>401</v>
      </c>
    </row>
    <row r="237" spans="2:2">
      <c r="B237" s="803" t="s">
        <v>402</v>
      </c>
    </row>
    <row r="238" spans="2:2">
      <c r="B238" s="803" t="s">
        <v>403</v>
      </c>
    </row>
    <row r="239" spans="2:2">
      <c r="B239" s="803" t="s">
        <v>404</v>
      </c>
    </row>
    <row r="240" spans="2:2">
      <c r="B240" s="803" t="s">
        <v>405</v>
      </c>
    </row>
    <row r="241" spans="2:2">
      <c r="B241" s="804"/>
    </row>
    <row r="242" spans="2:2">
      <c r="B242" s="212"/>
    </row>
    <row r="243" spans="2:2">
      <c r="B243" s="801" t="s">
        <v>406</v>
      </c>
    </row>
    <row r="244" spans="2:2">
      <c r="B244" s="805" t="s">
        <v>407</v>
      </c>
    </row>
    <row r="245" spans="2:2">
      <c r="B245" s="803" t="s">
        <v>408</v>
      </c>
    </row>
    <row r="246" spans="2:2">
      <c r="B246" s="804"/>
    </row>
    <row r="247" spans="2:2">
      <c r="B247" s="212"/>
    </row>
    <row r="248" spans="2:2">
      <c r="B248" s="801" t="s">
        <v>409</v>
      </c>
    </row>
    <row r="249" spans="2:2">
      <c r="B249" s="805" t="s">
        <v>450</v>
      </c>
    </row>
    <row r="250" spans="2:2">
      <c r="B250" s="803" t="s">
        <v>449</v>
      </c>
    </row>
    <row r="251" spans="2:2">
      <c r="B251" s="804" t="s">
        <v>265</v>
      </c>
    </row>
    <row r="252" spans="2:2">
      <c r="B252" s="212"/>
    </row>
    <row r="253" spans="2:2">
      <c r="B253" s="801" t="s">
        <v>281</v>
      </c>
    </row>
    <row r="254" spans="2:2">
      <c r="B254" s="805" t="s">
        <v>410</v>
      </c>
    </row>
    <row r="255" spans="2:2">
      <c r="B255" s="803" t="s">
        <v>454</v>
      </c>
    </row>
    <row r="256" spans="2:2">
      <c r="B256" s="803"/>
    </row>
    <row r="257" spans="2:2">
      <c r="B257" s="804"/>
    </row>
    <row r="258" spans="2:2">
      <c r="B258" s="212"/>
    </row>
    <row r="259" spans="2:2">
      <c r="B259" s="801" t="s">
        <v>286</v>
      </c>
    </row>
    <row r="260" spans="2:2">
      <c r="B260" s="805" t="s">
        <v>287</v>
      </c>
    </row>
    <row r="261" spans="2:2">
      <c r="B261" s="803" t="s">
        <v>292</v>
      </c>
    </row>
    <row r="262" spans="2:2">
      <c r="B262" s="803"/>
    </row>
    <row r="263" spans="2:2">
      <c r="B263" s="804"/>
    </row>
    <row r="264" spans="2:2">
      <c r="B264" s="212"/>
    </row>
    <row r="265" spans="2:2">
      <c r="B265" s="801" t="s">
        <v>411</v>
      </c>
    </row>
    <row r="266" spans="2:2">
      <c r="B266" s="805" t="s">
        <v>285</v>
      </c>
    </row>
    <row r="267" spans="2:2">
      <c r="B267" s="803" t="s">
        <v>284</v>
      </c>
    </row>
    <row r="268" spans="2:2">
      <c r="B268" s="804"/>
    </row>
  </sheetData>
  <mergeCells count="76">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 ref="B193:C193"/>
    <mergeCell ref="B188:C188"/>
    <mergeCell ref="B189:C189"/>
    <mergeCell ref="B207:C207"/>
    <mergeCell ref="B204:C204"/>
    <mergeCell ref="B203:C203"/>
    <mergeCell ref="B202:C202"/>
    <mergeCell ref="B197:C197"/>
    <mergeCell ref="B199:C199"/>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K38:M38"/>
    <mergeCell ref="K39:M39"/>
    <mergeCell ref="K71:T71"/>
    <mergeCell ref="G54:I54"/>
    <mergeCell ref="G55:I55"/>
    <mergeCell ref="G56:I56"/>
    <mergeCell ref="G57:I57"/>
    <mergeCell ref="J54:K54"/>
    <mergeCell ref="J55:K55"/>
    <mergeCell ref="J56:K56"/>
    <mergeCell ref="J57:K57"/>
    <mergeCell ref="E182:I182"/>
    <mergeCell ref="E183:I183"/>
    <mergeCell ref="E184:I184"/>
    <mergeCell ref="E185:I185"/>
    <mergeCell ref="E186:I186"/>
    <mergeCell ref="B162:C162"/>
    <mergeCell ref="B163:C163"/>
    <mergeCell ref="B167:C167"/>
    <mergeCell ref="B166:C166"/>
    <mergeCell ref="B165:C165"/>
    <mergeCell ref="B164:C164"/>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s>
  <conditionalFormatting sqref="C105:J105">
    <cfRule type="expression" dxfId="72" priority="10">
      <formula>AND(#REF!="Actuals",#REF!="Forecast")</formula>
    </cfRule>
  </conditionalFormatting>
  <conditionalFormatting sqref="C47">
    <cfRule type="expression" dxfId="71" priority="9">
      <formula>AND(#REF!="Actuals",#REF!="Forecast")</formula>
    </cfRule>
  </conditionalFormatting>
  <conditionalFormatting sqref="C50:J50">
    <cfRule type="expression" dxfId="70" priority="8">
      <formula>AND(#REF!="Actuals",#REF!="Forecast")</formula>
    </cfRule>
  </conditionalFormatting>
  <conditionalFormatting sqref="B14:D30">
    <cfRule type="cellIs" dxfId="69" priority="7" operator="equal">
      <formula>"Forecast"</formula>
    </cfRule>
  </conditionalFormatting>
  <conditionalFormatting sqref="B23:C30 E25:F27">
    <cfRule type="expression" dxfId="68" priority="11">
      <formula>$D13="Forecast"</formula>
    </cfRule>
  </conditionalFormatting>
  <conditionalFormatting sqref="K71">
    <cfRule type="expression" dxfId="67" priority="4">
      <formula>AND(#REF!="Actuals",#REF!="Forecast")</formula>
    </cfRule>
  </conditionalFormatting>
  <conditionalFormatting sqref="K72:T72">
    <cfRule type="expression" dxfId="66" priority="3">
      <formula>AND(#REF!="Actuals",#REF!="Forecast")</formula>
    </cfRule>
  </conditionalFormatting>
  <conditionalFormatting sqref="C62:L62">
    <cfRule type="expression" dxfId="65" priority="2">
      <formula>AND(#REF!="Actuals",#REF!="Forecast")</formula>
    </cfRule>
  </conditionalFormatting>
  <conditionalFormatting sqref="C118:L118">
    <cfRule type="expression" dxfId="64" priority="1">
      <formula>AND(#REF!="Actuals",#REF!="Forecast")</formula>
    </cfRule>
  </conditionalFormatting>
  <hyperlinks>
    <hyperlink ref="K39" r:id="rId1" display="August 2018 Publication" xr:uid="{ED2EE0A1-90AB-4938-A7F8-D7446C3170AC}"/>
    <hyperlink ref="K39:M39" r:id="rId2" display="May 2020 Publication" xr:uid="{338CC922-DD48-442C-9C3A-32E6543404AC}"/>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6" id="{4F3E94CC-810D-4A19-868C-792DFF42C89E}">
            <xm:f>AND('http://spwshare/ensites/reg/licfin/RFPR 1920/01_Consol/01_Revisions/[SPD_rfpr_reporting_pack_template_version_1.1.xlsx]RFPR cover'!#REF!="Actuals",'http://spwshare/ensites/reg/licfin/RFPR 1920/01_Consol/01_Revisions/[SPD_rfpr_reporting_pack_template_version_1.1.xlsx]RFPR cover'!#REF!="Forecast")</xm:f>
            <x14:dxf>
              <border>
                <right style="thin">
                  <color auto="1"/>
                </right>
                <vertical/>
                <horizontal/>
              </border>
            </x14:dxf>
          </x14:cfRule>
          <xm:sqref>D42:J42 D38:J38</xm:sqref>
        </x14:conditionalFormatting>
        <x14:conditionalFormatting xmlns:xm="http://schemas.microsoft.com/office/excel/2006/main">
          <x14:cfRule type="expression" priority="5" id="{68C17167-25C3-43E6-8270-5DD192EE7562}">
            <xm:f>AND('http://spwshare/ensites/reg/licfin/RFPR 1920/01_Consol/01_Revisions/[SPD_rfpr_reporting_pack_template_version_1.1.xlsx]RFPR cover'!#REF!="Actuals",'http://spwshare/ensites/reg/licfin/RFPR 1920/01_Consol/01_Revisions/[SPD_rfpr_reporting_pack_template_version_1.1.xlsx]RFPR cover'!#REF!="Forecast")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activeCell="A4" sqref="A4"/>
    </sheetView>
  </sheetViews>
  <sheetFormatPr defaultRowHeight="12.75"/>
  <cols>
    <col min="1" max="1" width="8.375" customWidth="1"/>
    <col min="2" max="2" width="23.75" customWidth="1"/>
    <col min="3" max="3" width="25.75" customWidth="1"/>
    <col min="4" max="4" width="9.75" customWidth="1"/>
  </cols>
  <sheetData>
    <row r="1" spans="1:14" s="29" customFormat="1" ht="20.25">
      <c r="A1" s="895" t="s">
        <v>80</v>
      </c>
      <c r="B1" s="895"/>
      <c r="C1" s="895"/>
      <c r="D1" s="895"/>
      <c r="E1" s="895"/>
      <c r="F1" s="895"/>
      <c r="G1" s="895"/>
      <c r="H1" s="895"/>
      <c r="I1" s="30" t="s">
        <v>81</v>
      </c>
      <c r="J1" s="31"/>
      <c r="K1" s="31"/>
      <c r="L1" s="31"/>
      <c r="M1" s="31"/>
    </row>
    <row r="2" spans="1:14" s="29" customFormat="1" ht="20.25">
      <c r="A2" s="895" t="str">
        <f>'RFPR cover'!C5</f>
        <v>SPT</v>
      </c>
      <c r="B2" s="895"/>
      <c r="C2" s="895"/>
      <c r="D2" s="895"/>
      <c r="E2" s="895"/>
      <c r="F2" s="895"/>
      <c r="G2" s="895"/>
      <c r="H2" s="895"/>
      <c r="I2" s="31"/>
      <c r="J2" s="31"/>
      <c r="K2" s="31"/>
      <c r="L2" s="31"/>
      <c r="M2" s="31"/>
      <c r="N2" s="355"/>
    </row>
    <row r="3" spans="1:14" s="29" customFormat="1" ht="20.25">
      <c r="A3" s="895">
        <f>'RFPR cover'!C7</f>
        <v>2020</v>
      </c>
      <c r="B3" s="895"/>
      <c r="C3" s="895"/>
      <c r="D3" s="895"/>
      <c r="E3" s="895"/>
      <c r="F3" s="895"/>
      <c r="G3" s="895"/>
      <c r="H3" s="895"/>
      <c r="I3" s="31"/>
      <c r="J3" s="31"/>
      <c r="K3" s="31"/>
      <c r="L3" s="31"/>
      <c r="M3" s="31"/>
      <c r="N3" s="355"/>
    </row>
    <row r="4" spans="1:14">
      <c r="A4" s="22"/>
      <c r="B4" s="22"/>
      <c r="C4" s="22"/>
      <c r="D4" s="22"/>
      <c r="E4" s="22"/>
      <c r="F4" s="22"/>
      <c r="G4" s="22"/>
      <c r="H4" s="22"/>
      <c r="I4" s="538"/>
      <c r="J4" s="538"/>
      <c r="K4" s="538"/>
      <c r="L4" s="538"/>
      <c r="M4" s="538"/>
      <c r="N4" s="40"/>
    </row>
    <row r="5" spans="1:14">
      <c r="A5" s="22"/>
      <c r="B5" s="22"/>
      <c r="C5" s="22"/>
      <c r="D5" s="22"/>
      <c r="E5" s="22"/>
      <c r="F5" s="22"/>
      <c r="G5" s="22"/>
      <c r="H5" s="22"/>
      <c r="I5" s="538"/>
      <c r="J5" s="538"/>
      <c r="K5" s="538"/>
      <c r="L5" s="538"/>
      <c r="M5" s="538"/>
      <c r="N5" s="40"/>
    </row>
    <row r="6" spans="1:14">
      <c r="A6" s="22"/>
      <c r="B6" s="23" t="s">
        <v>82</v>
      </c>
      <c r="C6" s="22"/>
      <c r="D6" s="22"/>
      <c r="E6" s="22"/>
      <c r="F6" s="22"/>
      <c r="G6" s="22"/>
      <c r="H6" s="22"/>
      <c r="I6" s="538"/>
      <c r="J6" s="538"/>
      <c r="K6" s="538"/>
      <c r="L6" s="538"/>
      <c r="M6" s="538"/>
      <c r="N6" s="40"/>
    </row>
    <row r="7" spans="1:14">
      <c r="A7" s="22"/>
      <c r="B7" s="22"/>
      <c r="C7" s="22"/>
      <c r="D7" s="22"/>
      <c r="E7" s="22"/>
      <c r="F7" s="22"/>
      <c r="G7" s="22"/>
      <c r="H7" s="22"/>
      <c r="I7" s="538"/>
      <c r="J7" s="538"/>
      <c r="K7" s="538"/>
      <c r="L7" s="538"/>
      <c r="M7" s="538"/>
      <c r="N7" s="40"/>
    </row>
    <row r="8" spans="1:14">
      <c r="A8" s="22"/>
      <c r="B8" s="45" t="s">
        <v>83</v>
      </c>
      <c r="C8" s="45" t="s">
        <v>84</v>
      </c>
      <c r="D8" s="990" t="s">
        <v>85</v>
      </c>
      <c r="E8" s="991"/>
      <c r="F8" s="991"/>
      <c r="G8" s="991"/>
      <c r="H8" s="991"/>
      <c r="I8" s="538"/>
      <c r="J8" s="538"/>
      <c r="K8" s="538"/>
      <c r="L8" s="538"/>
      <c r="M8" s="538"/>
      <c r="N8" s="40"/>
    </row>
    <row r="9" spans="1:14">
      <c r="A9" s="22"/>
      <c r="B9" s="24" t="s">
        <v>86</v>
      </c>
      <c r="C9" s="44"/>
      <c r="D9" s="988"/>
      <c r="E9" s="989"/>
      <c r="F9" s="989"/>
      <c r="G9" s="989"/>
      <c r="H9" s="989"/>
      <c r="I9" s="22"/>
      <c r="J9" s="22"/>
      <c r="K9" s="22"/>
      <c r="L9" s="22"/>
      <c r="M9" s="22"/>
    </row>
    <row r="10" spans="1:14">
      <c r="A10" s="22"/>
      <c r="B10" s="24" t="s">
        <v>87</v>
      </c>
      <c r="C10" s="44"/>
      <c r="D10" s="988"/>
      <c r="E10" s="989"/>
      <c r="F10" s="989"/>
      <c r="G10" s="989"/>
      <c r="H10" s="989"/>
      <c r="I10" s="22"/>
      <c r="J10" s="22"/>
      <c r="K10" s="22"/>
      <c r="L10" s="22"/>
      <c r="M10" s="22"/>
    </row>
    <row r="11" spans="1:14">
      <c r="A11" s="22"/>
      <c r="B11" s="24" t="s">
        <v>88</v>
      </c>
      <c r="C11" s="44"/>
      <c r="D11" s="988"/>
      <c r="E11" s="989"/>
      <c r="F11" s="989"/>
      <c r="G11" s="989"/>
      <c r="H11" s="989"/>
      <c r="I11" s="22"/>
      <c r="J11" s="22"/>
      <c r="K11" s="22"/>
      <c r="L11" s="22"/>
      <c r="M11" s="22"/>
    </row>
    <row r="12" spans="1:14">
      <c r="A12" s="22"/>
      <c r="B12" s="24" t="s">
        <v>89</v>
      </c>
      <c r="C12" s="44"/>
      <c r="D12" s="988"/>
      <c r="E12" s="989"/>
      <c r="F12" s="989"/>
      <c r="G12" s="989"/>
      <c r="H12" s="989"/>
      <c r="I12" s="22"/>
      <c r="J12" s="22"/>
      <c r="K12" s="22"/>
      <c r="L12" s="22"/>
      <c r="M12" s="22"/>
    </row>
    <row r="13" spans="1:14">
      <c r="A13" s="22"/>
      <c r="B13" s="24" t="s">
        <v>90</v>
      </c>
      <c r="C13" s="44"/>
      <c r="D13" s="988"/>
      <c r="E13" s="989"/>
      <c r="F13" s="989"/>
      <c r="G13" s="989"/>
      <c r="H13" s="989"/>
      <c r="I13" s="22"/>
      <c r="J13" s="22"/>
      <c r="K13" s="22"/>
      <c r="L13" s="22"/>
      <c r="M13" s="22"/>
    </row>
    <row r="14" spans="1:14">
      <c r="A14" s="22"/>
      <c r="B14" s="24" t="s">
        <v>91</v>
      </c>
      <c r="C14" s="44"/>
      <c r="D14" s="988"/>
      <c r="E14" s="989"/>
      <c r="F14" s="989"/>
      <c r="G14" s="989"/>
      <c r="H14" s="989"/>
      <c r="I14" s="22"/>
      <c r="J14" s="22"/>
      <c r="K14" s="22"/>
      <c r="L14" s="22"/>
      <c r="M14" s="22"/>
    </row>
    <row r="15" spans="1:14">
      <c r="A15" s="22"/>
      <c r="B15" s="24" t="s">
        <v>92</v>
      </c>
      <c r="C15" s="44"/>
      <c r="D15" s="988"/>
      <c r="E15" s="989"/>
      <c r="F15" s="989"/>
      <c r="G15" s="989"/>
      <c r="H15" s="989"/>
      <c r="I15" s="22"/>
      <c r="J15" s="22"/>
      <c r="K15" s="22"/>
      <c r="L15" s="22"/>
      <c r="M15" s="22"/>
    </row>
    <row r="16" spans="1:14">
      <c r="A16" s="22"/>
      <c r="B16" s="24" t="s">
        <v>93</v>
      </c>
      <c r="C16" s="44"/>
      <c r="D16" s="988"/>
      <c r="E16" s="989"/>
      <c r="F16" s="989"/>
      <c r="G16" s="989"/>
      <c r="H16" s="989"/>
      <c r="I16" s="22"/>
      <c r="J16" s="22"/>
      <c r="K16" s="22"/>
      <c r="L16" s="22"/>
      <c r="M16" s="22"/>
    </row>
    <row r="17" spans="1:13">
      <c r="A17" s="22"/>
      <c r="B17" s="24" t="s">
        <v>94</v>
      </c>
      <c r="C17" s="44"/>
      <c r="D17" s="988"/>
      <c r="E17" s="989"/>
      <c r="F17" s="989"/>
      <c r="G17" s="989"/>
      <c r="H17" s="989"/>
      <c r="I17" s="22"/>
      <c r="J17" s="22"/>
      <c r="K17" s="22"/>
      <c r="L17" s="22"/>
      <c r="M17" s="22"/>
    </row>
    <row r="18" spans="1:13">
      <c r="A18" s="22"/>
      <c r="B18" s="24" t="s">
        <v>95</v>
      </c>
      <c r="C18" s="44"/>
      <c r="D18" s="988"/>
      <c r="E18" s="989"/>
      <c r="F18" s="989"/>
      <c r="G18" s="989"/>
      <c r="H18" s="989"/>
      <c r="I18" s="22"/>
      <c r="J18" s="22"/>
      <c r="K18" s="22"/>
      <c r="L18" s="22"/>
      <c r="M18" s="22"/>
    </row>
    <row r="19" spans="1:13">
      <c r="A19" s="22"/>
      <c r="B19" s="22"/>
      <c r="C19" s="22"/>
      <c r="D19" s="22"/>
      <c r="E19" s="22"/>
      <c r="F19" s="22"/>
      <c r="G19" s="22"/>
      <c r="H19" s="22"/>
      <c r="I19" s="22"/>
      <c r="J19" s="22"/>
      <c r="K19" s="22"/>
      <c r="L19" s="22"/>
      <c r="M19" s="22"/>
    </row>
    <row r="20" spans="1:13">
      <c r="A20" s="22"/>
      <c r="B20" s="212"/>
      <c r="C20" s="22"/>
      <c r="D20" s="22"/>
      <c r="E20" s="22"/>
      <c r="F20" s="22"/>
      <c r="G20" s="22"/>
      <c r="H20" s="22"/>
      <c r="I20" s="22"/>
      <c r="J20" s="22"/>
      <c r="K20" s="22"/>
      <c r="L20" s="22"/>
    </row>
    <row r="21" spans="1:13">
      <c r="A21" s="22"/>
      <c r="B21" s="283" t="s">
        <v>258</v>
      </c>
      <c r="C21" s="22"/>
      <c r="D21" s="22"/>
      <c r="E21" s="22"/>
      <c r="F21" s="22"/>
      <c r="G21" s="22"/>
      <c r="H21" s="22"/>
      <c r="I21" s="22"/>
      <c r="J21" s="22"/>
      <c r="K21" s="22"/>
      <c r="L21" s="22"/>
    </row>
    <row r="22" spans="1:13">
      <c r="A22" s="22"/>
      <c r="B22" s="283" t="s">
        <v>116</v>
      </c>
      <c r="C22" s="22"/>
      <c r="D22" s="22"/>
      <c r="E22" s="22"/>
      <c r="F22" s="22"/>
      <c r="G22" s="22"/>
      <c r="H22" s="22"/>
      <c r="I22" s="22"/>
      <c r="J22" s="22"/>
      <c r="K22" s="22"/>
      <c r="L22" s="22"/>
    </row>
    <row r="23" spans="1:13">
      <c r="A23" s="22"/>
      <c r="B23" s="283" t="s">
        <v>259</v>
      </c>
      <c r="C23" s="22"/>
      <c r="D23" s="22"/>
      <c r="E23" s="22"/>
      <c r="F23" s="22"/>
      <c r="G23" s="22"/>
      <c r="H23" s="22"/>
      <c r="I23" s="22"/>
      <c r="J23" s="22"/>
      <c r="K23" s="22"/>
      <c r="L23" s="22"/>
    </row>
    <row r="24" spans="1:13">
      <c r="B24" s="283" t="s">
        <v>96</v>
      </c>
    </row>
    <row r="25" spans="1:13">
      <c r="B25" s="283" t="s">
        <v>257</v>
      </c>
    </row>
    <row r="26" spans="1:13">
      <c r="B26" s="283" t="s">
        <v>97</v>
      </c>
    </row>
    <row r="27" spans="1:13">
      <c r="B27" s="283" t="s">
        <v>260</v>
      </c>
    </row>
    <row r="28" spans="1:13">
      <c r="B28" s="283" t="s">
        <v>276</v>
      </c>
    </row>
    <row r="29" spans="1:13">
      <c r="B29" s="283" t="s">
        <v>233</v>
      </c>
    </row>
    <row r="30" spans="1:13">
      <c r="B30" s="283" t="s">
        <v>279</v>
      </c>
    </row>
    <row r="31" spans="1:13">
      <c r="B31" s="283" t="s">
        <v>98</v>
      </c>
    </row>
    <row r="32" spans="1:13">
      <c r="B32" s="283" t="s">
        <v>256</v>
      </c>
    </row>
    <row r="33" spans="2:2">
      <c r="B33" s="283" t="s">
        <v>261</v>
      </c>
    </row>
    <row r="34" spans="2:2">
      <c r="B34" s="283" t="s">
        <v>254</v>
      </c>
    </row>
    <row r="35" spans="2:2">
      <c r="B35" s="283" t="s">
        <v>262</v>
      </c>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venue'!A1" display="R2 - Revenue" xr:uid="{00000000-0004-0000-0200-000001000000}"/>
    <hyperlink ref="B23" location="'R3 - Rec to totex'!A1" display="R3 - Rec to totex" xr:uid="{00000000-0004-0000-0200-000002000000}"/>
    <hyperlink ref="B24" location="'R4 - Totex'!A1" display="R4 - Totex" xr:uid="{00000000-0004-0000-0200-000003000000}"/>
    <hyperlink ref="B25" location="'R5 - Output Incentives'!A1" display="R5 - Output Incentives" xr:uid="{00000000-0004-0000-0200-000004000000}"/>
    <hyperlink ref="B26" location="'R6 - Innovation'!A1" display="R6 - Innovation" xr:uid="{00000000-0004-0000-0200-000005000000}"/>
    <hyperlink ref="B27" location="'R7 - Financing'!A1" display="R7 - Financing" xr:uid="{00000000-0004-0000-0200-000006000000}"/>
    <hyperlink ref="B29" location="'R8 - Net Debt'!A1" display="R8 - Net Debt" xr:uid="{00000000-0004-0000-0200-000007000000}"/>
    <hyperlink ref="B31" location="'R9 - RAV'!A1" display="R9 - RAV" xr:uid="{00000000-0004-0000-0200-000008000000}"/>
    <hyperlink ref="B33" location="'R11 - Dividends'!A1" display="R11 - Dividends" xr:uid="{00000000-0004-0000-0200-000009000000}"/>
    <hyperlink ref="B34" location="'R12 - Pensions'!A1" display="R12 - Pensions" xr:uid="{00000000-0004-0000-0200-00000A000000}"/>
    <hyperlink ref="B35" location="'R13 - Other Activities '!A1" display="R13 - Other Activities" xr:uid="{00000000-0004-0000-0200-00000B000000}"/>
    <hyperlink ref="B32" location="'R10 - Tax'!A1" display="R10 - Tax" xr:uid="{00000000-0004-0000-0200-00000C000000}"/>
    <hyperlink ref="B28" location="'R7a - Financing input'!Print_Area" display="R7a - Financing input" xr:uid="{00000000-0004-0000-0200-00000D000000}"/>
    <hyperlink ref="B30" location="'R8a - Net Debt input'!Print_Area" display="R8a - Net Debt input" xr:uid="{00000000-0004-0000-0200-00000E000000}"/>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6"/>
  <sheetViews>
    <sheetView showGridLines="0" zoomScale="80" zoomScaleNormal="80" workbookViewId="0">
      <pane ySplit="5" topLeftCell="A6" activePane="bottomLeft" state="frozen"/>
      <selection activeCell="B75" sqref="A1:XFD1048576"/>
      <selection pane="bottomLeft" activeCell="A6" sqref="A6"/>
    </sheetView>
  </sheetViews>
  <sheetFormatPr defaultRowHeight="12.75"/>
  <cols>
    <col min="1" max="1" width="19.125" bestFit="1" customWidth="1"/>
    <col min="2" max="2" width="12.125" bestFit="1" customWidth="1"/>
    <col min="3" max="3" width="104.125" customWidth="1"/>
    <col min="4" max="4" width="35.5" customWidth="1"/>
  </cols>
  <sheetData>
    <row r="1" spans="1:4" s="29" customFormat="1" ht="20.25">
      <c r="A1" s="27" t="s">
        <v>118</v>
      </c>
      <c r="B1" s="27"/>
      <c r="C1" s="27"/>
      <c r="D1" s="27"/>
    </row>
    <row r="2" spans="1:4" s="29" customFormat="1" ht="20.25">
      <c r="A2" s="27" t="str">
        <f>'RFPR cover'!C5</f>
        <v>SPT</v>
      </c>
      <c r="B2" s="27"/>
      <c r="C2" s="27"/>
      <c r="D2" s="27"/>
    </row>
    <row r="3" spans="1:4" s="29" customFormat="1" ht="20.25">
      <c r="A3" s="27">
        <f>'RFPR cover'!C7</f>
        <v>2020</v>
      </c>
      <c r="B3" s="27"/>
      <c r="C3" s="27"/>
      <c r="D3" s="27"/>
    </row>
    <row r="4" spans="1:4" s="29" customFormat="1" ht="20.25">
      <c r="A4" s="833"/>
      <c r="B4" s="833"/>
      <c r="C4" s="833"/>
      <c r="D4" s="833"/>
    </row>
    <row r="5" spans="1:4" ht="30">
      <c r="A5" s="830" t="s">
        <v>433</v>
      </c>
      <c r="B5" s="831" t="s">
        <v>434</v>
      </c>
      <c r="C5" s="832" t="s">
        <v>435</v>
      </c>
    </row>
    <row r="6" spans="1:4">
      <c r="A6" s="325">
        <v>1.1000000000000001</v>
      </c>
      <c r="B6" s="840" t="s">
        <v>515</v>
      </c>
      <c r="C6" s="847" t="s">
        <v>516</v>
      </c>
    </row>
    <row r="7" spans="1:4">
      <c r="A7" s="325">
        <v>1.1000000000000001</v>
      </c>
      <c r="B7" s="840" t="s">
        <v>515</v>
      </c>
      <c r="C7" s="847" t="s">
        <v>517</v>
      </c>
    </row>
    <row r="8" spans="1:4">
      <c r="A8" s="325">
        <v>1.1000000000000001</v>
      </c>
      <c r="B8" s="838" t="s">
        <v>518</v>
      </c>
      <c r="C8" s="846" t="s">
        <v>519</v>
      </c>
    </row>
    <row r="9" spans="1:4" ht="25.5">
      <c r="A9" s="325">
        <v>1.1000000000000001</v>
      </c>
      <c r="B9" s="838" t="s">
        <v>521</v>
      </c>
      <c r="C9" s="846" t="s">
        <v>522</v>
      </c>
    </row>
    <row r="10" spans="1:4">
      <c r="A10" s="325">
        <v>1.1000000000000001</v>
      </c>
      <c r="B10" s="838" t="s">
        <v>521</v>
      </c>
      <c r="C10" s="846" t="s">
        <v>524</v>
      </c>
    </row>
    <row r="11" spans="1:4">
      <c r="A11" s="325">
        <v>1.1000000000000001</v>
      </c>
      <c r="B11" s="838" t="s">
        <v>526</v>
      </c>
      <c r="C11" s="846" t="s">
        <v>525</v>
      </c>
    </row>
    <row r="12" spans="1:4" ht="25.5">
      <c r="A12" s="325">
        <v>1.1000000000000001</v>
      </c>
      <c r="B12" s="838" t="s">
        <v>521</v>
      </c>
      <c r="C12" s="846" t="s">
        <v>527</v>
      </c>
    </row>
    <row r="13" spans="1:4" ht="51">
      <c r="A13" s="325">
        <v>1.1000000000000001</v>
      </c>
      <c r="B13" s="838" t="s">
        <v>521</v>
      </c>
      <c r="C13" s="846" t="s">
        <v>528</v>
      </c>
    </row>
    <row r="14" spans="1:4">
      <c r="A14" s="326">
        <v>1.1000000000000001</v>
      </c>
      <c r="B14" s="838" t="s">
        <v>529</v>
      </c>
      <c r="C14" s="846" t="s">
        <v>530</v>
      </c>
    </row>
    <row r="15" spans="1:4">
      <c r="A15" s="326">
        <v>1.1000000000000001</v>
      </c>
      <c r="B15" s="838" t="s">
        <v>518</v>
      </c>
      <c r="C15" s="846" t="s">
        <v>531</v>
      </c>
    </row>
    <row r="16" spans="1:4" ht="38.25">
      <c r="A16" s="326">
        <v>1.1000000000000001</v>
      </c>
      <c r="B16" s="838" t="s">
        <v>532</v>
      </c>
      <c r="C16" s="846" t="s">
        <v>533</v>
      </c>
    </row>
    <row r="17" spans="1:3">
      <c r="A17" s="326">
        <v>1.1000000000000001</v>
      </c>
      <c r="B17" s="838" t="s">
        <v>526</v>
      </c>
      <c r="C17" s="284" t="s">
        <v>534</v>
      </c>
    </row>
    <row r="18" spans="1:3" ht="25.5">
      <c r="A18" s="326">
        <v>1.1000000000000001</v>
      </c>
      <c r="B18" s="838" t="s">
        <v>526</v>
      </c>
      <c r="C18" s="284" t="s">
        <v>535</v>
      </c>
    </row>
    <row r="19" spans="1:3">
      <c r="A19" s="326">
        <v>1.1000000000000001</v>
      </c>
      <c r="B19" s="838" t="s">
        <v>536</v>
      </c>
      <c r="C19" s="284" t="s">
        <v>537</v>
      </c>
    </row>
    <row r="20" spans="1:3" ht="25.5">
      <c r="A20" s="326">
        <v>1.1000000000000001</v>
      </c>
      <c r="B20" s="838" t="s">
        <v>536</v>
      </c>
      <c r="C20" s="284" t="s">
        <v>548</v>
      </c>
    </row>
    <row r="21" spans="1:3">
      <c r="A21" s="326">
        <v>1.1000000000000001</v>
      </c>
      <c r="B21" s="838" t="s">
        <v>549</v>
      </c>
      <c r="C21" s="284" t="s">
        <v>550</v>
      </c>
    </row>
    <row r="22" spans="1:3">
      <c r="A22" s="326">
        <v>1.1000000000000001</v>
      </c>
      <c r="B22" s="326" t="s">
        <v>529</v>
      </c>
      <c r="C22" s="284" t="s">
        <v>551</v>
      </c>
    </row>
    <row r="23" spans="1:3" ht="25.5">
      <c r="A23" s="326">
        <v>1.1000000000000001</v>
      </c>
      <c r="B23" s="838" t="s">
        <v>529</v>
      </c>
      <c r="C23" s="284" t="s">
        <v>552</v>
      </c>
    </row>
    <row r="24" spans="1:3" ht="25.5">
      <c r="A24" s="326">
        <v>1.1000000000000001</v>
      </c>
      <c r="B24" s="838" t="s">
        <v>532</v>
      </c>
      <c r="C24" s="284" t="s">
        <v>553</v>
      </c>
    </row>
    <row r="25" spans="1:3" ht="25.5">
      <c r="A25" s="326">
        <v>1.1000000000000001</v>
      </c>
      <c r="B25" s="838" t="s">
        <v>536</v>
      </c>
      <c r="C25" s="284" t="s">
        <v>555</v>
      </c>
    </row>
    <row r="26" spans="1:3">
      <c r="A26" s="326"/>
      <c r="B26" s="838"/>
      <c r="C26" s="284"/>
    </row>
    <row r="27" spans="1:3">
      <c r="A27" s="326"/>
      <c r="B27" s="838"/>
      <c r="C27" s="284"/>
    </row>
    <row r="28" spans="1:3">
      <c r="A28" s="326"/>
      <c r="B28" s="838"/>
      <c r="C28" s="284"/>
    </row>
    <row r="29" spans="1:3">
      <c r="A29" s="326"/>
      <c r="B29" s="838"/>
      <c r="C29" s="284"/>
    </row>
    <row r="30" spans="1:3">
      <c r="A30" s="326"/>
      <c r="B30" s="838"/>
      <c r="C30" s="284"/>
    </row>
    <row r="31" spans="1:3">
      <c r="A31" s="326"/>
      <c r="B31" s="838"/>
      <c r="C31" s="860"/>
    </row>
    <row r="32" spans="1:3">
      <c r="A32" s="326"/>
      <c r="B32" s="838"/>
      <c r="C32" s="284"/>
    </row>
    <row r="33" spans="1:3">
      <c r="A33" s="326"/>
      <c r="B33" s="838"/>
      <c r="C33" s="284"/>
    </row>
    <row r="34" spans="1:3">
      <c r="A34" s="327"/>
      <c r="B34" s="838"/>
      <c r="C34" s="284"/>
    </row>
    <row r="35" spans="1:3">
      <c r="A35" s="327"/>
      <c r="B35" s="863"/>
      <c r="C35" s="284"/>
    </row>
    <row r="36" spans="1:3">
      <c r="A36" s="327"/>
      <c r="B36" s="863"/>
      <c r="C36" s="284"/>
    </row>
    <row r="37" spans="1:3">
      <c r="A37" s="327"/>
      <c r="B37" s="863"/>
      <c r="C37" s="284"/>
    </row>
    <row r="38" spans="1:3">
      <c r="A38" s="327"/>
      <c r="B38" s="863"/>
      <c r="C38" s="284"/>
    </row>
    <row r="39" spans="1:3">
      <c r="A39" s="326"/>
      <c r="B39" s="863"/>
      <c r="C39" s="284"/>
    </row>
    <row r="40" spans="1:3">
      <c r="A40" s="327"/>
      <c r="B40" s="863"/>
      <c r="C40" s="284"/>
    </row>
    <row r="41" spans="1:3">
      <c r="A41" s="327"/>
      <c r="B41" s="863"/>
      <c r="C41" s="284"/>
    </row>
    <row r="42" spans="1:3">
      <c r="A42" s="327"/>
      <c r="B42" s="863"/>
      <c r="C42" s="284"/>
    </row>
    <row r="43" spans="1:3">
      <c r="A43" s="327"/>
      <c r="B43" s="838"/>
      <c r="C43" s="284"/>
    </row>
    <row r="44" spans="1:3">
      <c r="A44" s="327"/>
      <c r="B44" s="838"/>
      <c r="C44" s="284"/>
    </row>
    <row r="45" spans="1:3">
      <c r="A45" s="327"/>
      <c r="B45" s="838"/>
      <c r="C45" s="284"/>
    </row>
    <row r="46" spans="1:3">
      <c r="A46" s="327"/>
      <c r="B46" s="838"/>
      <c r="C46" s="284"/>
    </row>
    <row r="47" spans="1:3">
      <c r="A47" s="327"/>
      <c r="B47" s="838"/>
      <c r="C47" s="284"/>
    </row>
    <row r="48" spans="1:3">
      <c r="A48" s="327"/>
      <c r="B48" s="838"/>
      <c r="C48" s="284"/>
    </row>
    <row r="49" spans="1:3">
      <c r="A49" s="327"/>
      <c r="B49" s="838"/>
      <c r="C49" s="284"/>
    </row>
    <row r="50" spans="1:3">
      <c r="A50" s="327"/>
      <c r="B50" s="838"/>
      <c r="C50" s="284"/>
    </row>
    <row r="51" spans="1:3">
      <c r="A51" s="327"/>
      <c r="B51" s="838"/>
      <c r="C51" s="284"/>
    </row>
    <row r="52" spans="1:3">
      <c r="A52" s="327"/>
      <c r="B52" s="838"/>
      <c r="C52" s="284"/>
    </row>
    <row r="53" spans="1:3">
      <c r="A53" s="327"/>
      <c r="B53" s="870"/>
      <c r="C53" s="871"/>
    </row>
    <row r="54" spans="1:3">
      <c r="A54" s="327"/>
      <c r="B54" s="838"/>
      <c r="C54" s="284"/>
    </row>
    <row r="55" spans="1:3">
      <c r="A55" s="327"/>
      <c r="B55" s="838"/>
      <c r="C55" s="284"/>
    </row>
    <row r="56" spans="1:3">
      <c r="A56" s="327"/>
      <c r="B56" s="838"/>
      <c r="C56" s="284"/>
    </row>
    <row r="57" spans="1:3">
      <c r="A57" s="327"/>
      <c r="B57" s="838"/>
      <c r="C57" s="284"/>
    </row>
    <row r="58" spans="1:3">
      <c r="A58" s="327"/>
      <c r="B58" s="838"/>
      <c r="C58" s="860"/>
    </row>
    <row r="59" spans="1:3">
      <c r="A59" s="328"/>
      <c r="B59" s="839"/>
      <c r="C59" s="285"/>
    </row>
    <row r="60" spans="1:3">
      <c r="A60" s="328"/>
      <c r="B60" s="839"/>
      <c r="C60" s="285"/>
    </row>
    <row r="61" spans="1:3">
      <c r="A61" s="328"/>
      <c r="B61" s="839"/>
      <c r="C61" s="285"/>
    </row>
    <row r="62" spans="1:3">
      <c r="A62" s="328"/>
      <c r="B62" s="839"/>
      <c r="C62" s="285"/>
    </row>
    <row r="63" spans="1:3">
      <c r="A63" s="328"/>
      <c r="B63" s="839"/>
      <c r="C63" s="285"/>
    </row>
    <row r="64" spans="1:3">
      <c r="A64" s="328"/>
      <c r="B64" s="839"/>
      <c r="C64" s="285"/>
    </row>
    <row r="65" spans="1:3">
      <c r="A65" s="328"/>
      <c r="B65" s="839"/>
      <c r="C65" s="285"/>
    </row>
    <row r="66" spans="1:3">
      <c r="A66" s="328"/>
      <c r="B66" s="839"/>
      <c r="C66" s="285"/>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FFCC"/>
    <pageSetUpPr fitToPage="1"/>
  </sheetPr>
  <dimension ref="A1:T74"/>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63.375" style="195" customWidth="1"/>
    <col min="3" max="3" width="13.375" style="40" customWidth="1"/>
    <col min="4" max="11" width="9.125" customWidth="1"/>
    <col min="12" max="12" width="3.625" customWidth="1"/>
    <col min="13" max="14" width="13.75" customWidth="1"/>
    <col min="15" max="15" width="5.125" customWidth="1"/>
  </cols>
  <sheetData>
    <row r="1" spans="1:20" s="29" customFormat="1" ht="20.25">
      <c r="A1" s="900" t="s">
        <v>235</v>
      </c>
      <c r="B1" s="908"/>
      <c r="C1" s="909"/>
      <c r="D1" s="909"/>
      <c r="E1" s="909"/>
      <c r="F1" s="909"/>
      <c r="G1" s="255"/>
      <c r="H1" s="255"/>
      <c r="I1" s="256"/>
      <c r="J1" s="256"/>
      <c r="K1" s="257"/>
      <c r="L1" s="257"/>
      <c r="M1" s="257"/>
      <c r="N1" s="257"/>
      <c r="O1" s="356" t="s">
        <v>81</v>
      </c>
      <c r="P1"/>
      <c r="Q1"/>
      <c r="R1"/>
      <c r="S1"/>
      <c r="T1"/>
    </row>
    <row r="2" spans="1:20" s="29" customFormat="1" ht="20.25">
      <c r="A2" s="902" t="str">
        <f>'RFPR cover'!C5</f>
        <v>SPT</v>
      </c>
      <c r="B2" s="910"/>
      <c r="C2" s="895"/>
      <c r="D2" s="895"/>
      <c r="E2" s="895"/>
      <c r="F2" s="895"/>
      <c r="G2" s="27"/>
      <c r="H2" s="27"/>
      <c r="I2" s="25"/>
      <c r="J2" s="25"/>
      <c r="K2" s="25"/>
      <c r="L2" s="25"/>
      <c r="M2" s="25"/>
      <c r="N2" s="25"/>
      <c r="O2" s="122"/>
      <c r="P2"/>
      <c r="Q2"/>
      <c r="R2"/>
      <c r="S2"/>
      <c r="T2"/>
    </row>
    <row r="3" spans="1:20" s="29" customFormat="1" ht="23.25">
      <c r="A3" s="905">
        <f>'RFPR cover'!C7</f>
        <v>2020</v>
      </c>
      <c r="B3" s="911" t="str">
        <f>IF('RFPR cover'!C5=Data!B98,"Not required to be completed for System Operator",(IF('RFPR cover'!C5=Data!B96,"Not required to be completed for System Operator","")))</f>
        <v/>
      </c>
      <c r="C3" s="912"/>
      <c r="D3" s="912"/>
      <c r="E3" s="912"/>
      <c r="F3" s="912"/>
      <c r="G3" s="259"/>
      <c r="H3" s="259"/>
      <c r="I3" s="254"/>
      <c r="J3" s="254"/>
      <c r="K3" s="254"/>
      <c r="L3" s="254"/>
      <c r="M3" s="254"/>
      <c r="N3" s="254"/>
      <c r="O3" s="260"/>
      <c r="P3"/>
      <c r="Q3"/>
      <c r="R3"/>
      <c r="S3"/>
      <c r="T3"/>
    </row>
    <row r="4" spans="1:20" ht="12.75" customHeight="1"/>
    <row r="5" spans="1:20">
      <c r="D5" s="379" t="str">
        <f>IF(D6&lt;='RFPR cover'!$C$7,"Actuals","Forecast")</f>
        <v>Actuals</v>
      </c>
      <c r="E5" s="380" t="str">
        <f>IF(E6&lt;='RFPR cover'!$C$7,"Actuals","Forecast")</f>
        <v>Actuals</v>
      </c>
      <c r="F5" s="380" t="str">
        <f>IF(F6&lt;='RFPR cover'!$C$7,"Actuals","Forecast")</f>
        <v>Actuals</v>
      </c>
      <c r="G5" s="380" t="str">
        <f>IF(G6&lt;='RFPR cover'!$C$7,"Actuals","Forecast")</f>
        <v>Actuals</v>
      </c>
      <c r="H5" s="380" t="str">
        <f>IF(H6&lt;='RFPR cover'!$C$7,"Actuals","Forecast")</f>
        <v>Actuals</v>
      </c>
      <c r="I5" s="380" t="str">
        <f>IF(I6&lt;='RFPR cover'!$C$7,"Actuals","Forecast")</f>
        <v>Actuals</v>
      </c>
      <c r="J5" s="380" t="str">
        <f>IF(J6&lt;='RFPR cover'!$C$7,"Actuals","Forecast")</f>
        <v>Actuals</v>
      </c>
      <c r="K5" s="381" t="str">
        <f>IF(K6&lt;='RFPR cover'!$C$7,"Actuals","Forecast")</f>
        <v>Forecast</v>
      </c>
      <c r="L5" s="2"/>
      <c r="M5" s="2"/>
    </row>
    <row r="6" spans="1:20" ht="31.5" customHeight="1">
      <c r="C6" s="171"/>
      <c r="D6" s="116">
        <f>'RFPR cover'!$C$13</f>
        <v>2014</v>
      </c>
      <c r="E6" s="117">
        <f>D6+1</f>
        <v>2015</v>
      </c>
      <c r="F6" s="117">
        <f t="shared" ref="F6:K6" si="0">E6+1</f>
        <v>2016</v>
      </c>
      <c r="G6" s="117">
        <f t="shared" si="0"/>
        <v>2017</v>
      </c>
      <c r="H6" s="117">
        <f t="shared" si="0"/>
        <v>2018</v>
      </c>
      <c r="I6" s="117">
        <f t="shared" si="0"/>
        <v>2019</v>
      </c>
      <c r="J6" s="117">
        <f t="shared" si="0"/>
        <v>2020</v>
      </c>
      <c r="K6" s="194">
        <f t="shared" si="0"/>
        <v>2021</v>
      </c>
      <c r="L6" s="47"/>
      <c r="M6" s="100" t="str">
        <f>"Cumulative to "&amp;'RFPR cover'!$C$7</f>
        <v>Cumulative to 2020</v>
      </c>
      <c r="N6" s="193" t="s">
        <v>106</v>
      </c>
    </row>
    <row r="7" spans="1:20">
      <c r="C7" s="171"/>
      <c r="D7" s="171"/>
      <c r="E7" s="171"/>
      <c r="F7" s="171"/>
      <c r="G7" s="171"/>
      <c r="H7" s="171"/>
      <c r="I7" s="171"/>
      <c r="J7" s="171"/>
      <c r="K7" s="171"/>
      <c r="L7" s="171"/>
      <c r="M7" s="171"/>
      <c r="N7" s="171"/>
      <c r="O7" s="171"/>
    </row>
    <row r="8" spans="1:20">
      <c r="B8" s="521" t="s">
        <v>105</v>
      </c>
      <c r="C8" s="413"/>
      <c r="D8" s="413"/>
      <c r="E8" s="413"/>
      <c r="F8" s="413"/>
      <c r="G8" s="413"/>
      <c r="H8" s="413"/>
      <c r="I8" s="413"/>
      <c r="J8" s="413"/>
      <c r="K8" s="413"/>
      <c r="L8" s="522"/>
      <c r="M8" s="216"/>
      <c r="N8" s="216"/>
      <c r="O8" s="216"/>
    </row>
    <row r="9" spans="1:20">
      <c r="B9" s="196"/>
      <c r="D9" s="40"/>
      <c r="E9" s="40"/>
      <c r="F9" s="40"/>
      <c r="G9" s="40"/>
      <c r="H9" s="40"/>
      <c r="I9" s="40"/>
      <c r="J9" s="40"/>
      <c r="K9" s="40"/>
      <c r="L9" s="47"/>
    </row>
    <row r="10" spans="1:20">
      <c r="B10" s="251" t="s">
        <v>211</v>
      </c>
      <c r="C10" s="253" t="s">
        <v>7</v>
      </c>
      <c r="D10" s="497">
        <f t="shared" ref="D10:K19" si="1">D48/D$65</f>
        <v>7.0000000000000007E-2</v>
      </c>
      <c r="E10" s="499">
        <f t="shared" si="1"/>
        <v>7.0000000000000007E-2</v>
      </c>
      <c r="F10" s="499">
        <f t="shared" si="1"/>
        <v>7.0000000000000007E-2</v>
      </c>
      <c r="G10" s="499">
        <f t="shared" si="1"/>
        <v>7.0000000000000007E-2</v>
      </c>
      <c r="H10" s="499">
        <f t="shared" si="1"/>
        <v>7.0000000000000007E-2</v>
      </c>
      <c r="I10" s="499">
        <f t="shared" si="1"/>
        <v>7.0000000000000007E-2</v>
      </c>
      <c r="J10" s="499">
        <f t="shared" si="1"/>
        <v>7.0000000000000007E-2</v>
      </c>
      <c r="K10" s="498">
        <f t="shared" si="1"/>
        <v>7.0000000000000007E-2</v>
      </c>
      <c r="L10" s="172"/>
      <c r="M10" s="498">
        <f>AVERAGE(D48:INDEX(D48:K48,0,MATCH('RFPR cover'!$C$7,$D$6:$K$6,0)))/AVERAGE($D$65:INDEX($D$65:$K$65,0,MATCH('RFPR cover'!$C$7,$D$6:$K$6,0)))</f>
        <v>6.9999999999999993E-2</v>
      </c>
      <c r="N10" s="498">
        <f>AVERAGE(D48:K48)/AVERAGE($D$65:$K$65)</f>
        <v>6.9999999999999993E-2</v>
      </c>
    </row>
    <row r="11" spans="1:20">
      <c r="B11" s="251" t="str">
        <f t="shared" ref="B11:B18" si="2">B49</f>
        <v>Totex outperformance</v>
      </c>
      <c r="C11" s="253" t="s">
        <v>7</v>
      </c>
      <c r="D11" s="174">
        <f t="shared" si="1"/>
        <v>2.9531021924017346E-2</v>
      </c>
      <c r="E11" s="175">
        <f t="shared" si="1"/>
        <v>3.2865174181287059E-2</v>
      </c>
      <c r="F11" s="175">
        <f t="shared" si="1"/>
        <v>1.9907527545812681E-2</v>
      </c>
      <c r="G11" s="175">
        <f t="shared" si="1"/>
        <v>1.0256727808097041E-2</v>
      </c>
      <c r="H11" s="175">
        <f t="shared" si="1"/>
        <v>1.7963626003494404E-4</v>
      </c>
      <c r="I11" s="175">
        <f t="shared" si="1"/>
        <v>-1.2085830852367075E-4</v>
      </c>
      <c r="J11" s="175">
        <f t="shared" si="1"/>
        <v>-4.2246921284324656E-3</v>
      </c>
      <c r="K11" s="176">
        <f t="shared" si="1"/>
        <v>3.5058825013814152E-4</v>
      </c>
      <c r="L11" s="172"/>
      <c r="M11" s="176">
        <f>AVERAGE(D49:INDEX(D49:K49,0,MATCH('RFPR cover'!$C$7,$D$6:$K$6,0)))/AVERAGE($D$65:INDEX($D$65:$K$65,0,MATCH('RFPR cover'!$C$7,$D$6:$K$6,0)))</f>
        <v>1.0368294391206102E-2</v>
      </c>
      <c r="N11" s="176">
        <f t="shared" ref="N11:N19" si="3">AVERAGE(D49:K49)/AVERAGE($D$65:$K$65)</f>
        <v>8.8939798883044732E-3</v>
      </c>
    </row>
    <row r="12" spans="1:20">
      <c r="B12" s="251" t="str">
        <f t="shared" si="2"/>
        <v>IQI Reward</v>
      </c>
      <c r="C12" s="253" t="s">
        <v>7</v>
      </c>
      <c r="D12" s="174">
        <f t="shared" si="1"/>
        <v>1.6868442511977073E-2</v>
      </c>
      <c r="E12" s="175">
        <f t="shared" si="1"/>
        <v>1.9248249393377522E-3</v>
      </c>
      <c r="F12" s="175">
        <f t="shared" si="1"/>
        <v>2.8544208734700698E-2</v>
      </c>
      <c r="G12" s="175">
        <f t="shared" si="1"/>
        <v>7.9317079867176447E-3</v>
      </c>
      <c r="H12" s="175">
        <f t="shared" si="1"/>
        <v>7.2200410734524906E-3</v>
      </c>
      <c r="I12" s="175">
        <f t="shared" si="1"/>
        <v>7.1088508291515745E-3</v>
      </c>
      <c r="J12" s="175">
        <f t="shared" si="1"/>
        <v>7.1933788033947191E-3</v>
      </c>
      <c r="K12" s="176">
        <f t="shared" si="1"/>
        <v>5.2111626045413095E-3</v>
      </c>
      <c r="L12" s="172"/>
      <c r="M12" s="176">
        <f>AVERAGE(D50:INDEX(D50:K50,0,MATCH('RFPR cover'!$C$7,$D$6:$K$6,0)))/AVERAGE($D$65:INDEX($D$65:$K$65,0,MATCH('RFPR cover'!$C$7,$D$6:$K$6,0)))</f>
        <v>1.0500332464765444E-2</v>
      </c>
      <c r="N12" s="176">
        <f t="shared" si="3"/>
        <v>9.7219207482078136E-3</v>
      </c>
    </row>
    <row r="13" spans="1:20">
      <c r="B13" s="251" t="str">
        <f t="shared" si="2"/>
        <v>Network Reliability Incentive</v>
      </c>
      <c r="C13" s="253" t="s">
        <v>7</v>
      </c>
      <c r="D13" s="174">
        <f t="shared" si="1"/>
        <v>3.0401342047212238E-3</v>
      </c>
      <c r="E13" s="175">
        <f t="shared" si="1"/>
        <v>3.26998230925686E-3</v>
      </c>
      <c r="F13" s="175">
        <f t="shared" si="1"/>
        <v>2.7496765127352032E-3</v>
      </c>
      <c r="G13" s="175">
        <f t="shared" si="1"/>
        <v>2.4459292009053608E-3</v>
      </c>
      <c r="H13" s="175">
        <f t="shared" si="1"/>
        <v>2.2931898983406655E-3</v>
      </c>
      <c r="I13" s="175">
        <f t="shared" si="1"/>
        <v>1.8765955092119484E-3</v>
      </c>
      <c r="J13" s="175">
        <f t="shared" si="1"/>
        <v>2.2259664461678407E-3</v>
      </c>
      <c r="K13" s="176">
        <f t="shared" si="1"/>
        <v>9.8905077603993956E-4</v>
      </c>
      <c r="L13" s="172"/>
      <c r="M13" s="176">
        <f>AVERAGE(D51:INDEX(D51:K51,0,MATCH('RFPR cover'!$C$7,$D$6:$K$6,0)))/AVERAGE($D$65:INDEX($D$65:$K$65,0,MATCH('RFPR cover'!$C$7,$D$6:$K$6,0)))</f>
        <v>2.4871568541453637E-3</v>
      </c>
      <c r="N13" s="176">
        <f t="shared" si="3"/>
        <v>2.26667928305937E-3</v>
      </c>
    </row>
    <row r="14" spans="1:20">
      <c r="B14" s="251" t="str">
        <f t="shared" si="2"/>
        <v>Stakeholder Satisfaction Output</v>
      </c>
      <c r="C14" s="253" t="s">
        <v>7</v>
      </c>
      <c r="D14" s="174">
        <f t="shared" si="1"/>
        <v>5.518588794686804E-4</v>
      </c>
      <c r="E14" s="175">
        <f t="shared" si="1"/>
        <v>7.8863195577993722E-4</v>
      </c>
      <c r="F14" s="175">
        <f t="shared" si="1"/>
        <v>9.8832281023296647E-4</v>
      </c>
      <c r="G14" s="175">
        <f t="shared" si="1"/>
        <v>1.8279976209468829E-3</v>
      </c>
      <c r="H14" s="175">
        <f t="shared" si="1"/>
        <v>2.2623897982318843E-3</v>
      </c>
      <c r="I14" s="175">
        <f t="shared" si="1"/>
        <v>1.788870158916025E-3</v>
      </c>
      <c r="J14" s="175">
        <f t="shared" si="1"/>
        <v>1.7947237459080554E-3</v>
      </c>
      <c r="K14" s="176">
        <f t="shared" si="1"/>
        <v>9.8905077603993956E-4</v>
      </c>
      <c r="L14" s="172"/>
      <c r="M14" s="176">
        <f>AVERAGE(D52:INDEX(D52:K52,0,MATCH('RFPR cover'!$C$7,$D$6:$K$6,0)))/AVERAGE($D$65:INDEX($D$65:$K$65,0,MATCH('RFPR cover'!$C$7,$D$6:$K$6,0)))</f>
        <v>1.521723398977792E-3</v>
      </c>
      <c r="N14" s="176">
        <f t="shared" si="3"/>
        <v>1.4433295069792584E-3</v>
      </c>
    </row>
    <row r="15" spans="1:20">
      <c r="B15" s="251" t="str">
        <f t="shared" si="2"/>
        <v>SF6 Emissions</v>
      </c>
      <c r="C15" s="253" t="s">
        <v>7</v>
      </c>
      <c r="D15" s="174">
        <f t="shared" si="1"/>
        <v>-1.7297868898589528E-4</v>
      </c>
      <c r="E15" s="175">
        <f t="shared" si="1"/>
        <v>-3.9565405638252186E-5</v>
      </c>
      <c r="F15" s="175">
        <f t="shared" si="1"/>
        <v>4.6624277629609053E-5</v>
      </c>
      <c r="G15" s="175">
        <f t="shared" si="1"/>
        <v>1.8467890170741755E-4</v>
      </c>
      <c r="H15" s="175">
        <f t="shared" si="1"/>
        <v>1.7772470923229942E-4</v>
      </c>
      <c r="I15" s="175">
        <f t="shared" si="1"/>
        <v>9.285810600866527E-6</v>
      </c>
      <c r="J15" s="175">
        <f t="shared" si="1"/>
        <v>3.0238265336573773E-4</v>
      </c>
      <c r="K15" s="176">
        <f t="shared" si="1"/>
        <v>4.945253880199699E-5</v>
      </c>
      <c r="L15" s="172"/>
      <c r="M15" s="176">
        <f>AVERAGE(D53:INDEX(D53:K53,0,MATCH('RFPR cover'!$C$7,$D$6:$K$6,0)))/AVERAGE($D$65:INDEX($D$65:$K$65,0,MATCH('RFPR cover'!$C$7,$D$6:$K$6,0)))</f>
        <v>9.2295324443235769E-5</v>
      </c>
      <c r="N15" s="176">
        <f t="shared" si="3"/>
        <v>8.5990114515322052E-5</v>
      </c>
    </row>
    <row r="16" spans="1:20">
      <c r="B16" s="251" t="str">
        <f t="shared" si="2"/>
        <v>Environmental Discretionary Reward</v>
      </c>
      <c r="C16" s="253" t="s">
        <v>7</v>
      </c>
      <c r="D16" s="174">
        <f t="shared" si="1"/>
        <v>0</v>
      </c>
      <c r="E16" s="175">
        <f t="shared" si="1"/>
        <v>0</v>
      </c>
      <c r="F16" s="175">
        <f t="shared" si="1"/>
        <v>4.3328337308055579E-3</v>
      </c>
      <c r="G16" s="175">
        <f t="shared" si="1"/>
        <v>3.710699918279171E-3</v>
      </c>
      <c r="H16" s="175">
        <f t="shared" si="1"/>
        <v>0</v>
      </c>
      <c r="I16" s="175">
        <f t="shared" si="1"/>
        <v>7.7984484985078558E-4</v>
      </c>
      <c r="J16" s="175">
        <f t="shared" si="1"/>
        <v>0</v>
      </c>
      <c r="K16" s="176">
        <f t="shared" si="1"/>
        <v>4.9452538801996978E-4</v>
      </c>
      <c r="L16" s="172"/>
      <c r="M16" s="176">
        <f>AVERAGE(D54:INDEX(D54:K54,0,MATCH('RFPR cover'!$C$7,$D$6:$K$6,0)))/AVERAGE($D$65:INDEX($D$65:$K$65,0,MATCH('RFPR cover'!$C$7,$D$6:$K$6,0)))</f>
        <v>1.2536843895380066E-3</v>
      </c>
      <c r="N16" s="176">
        <f t="shared" si="3"/>
        <v>1.1419583007323069E-3</v>
      </c>
    </row>
    <row r="17" spans="2:20">
      <c r="B17" s="251" t="str">
        <f t="shared" si="2"/>
        <v xml:space="preserve">Performance re offers of timely connection </v>
      </c>
      <c r="C17" s="253" t="s">
        <v>7</v>
      </c>
      <c r="D17" s="174">
        <f t="shared" si="1"/>
        <v>-7.5103387150838639E-5</v>
      </c>
      <c r="E17" s="175">
        <f t="shared" si="1"/>
        <v>-4.5128632088190991E-5</v>
      </c>
      <c r="F17" s="175">
        <f t="shared" si="1"/>
        <v>0</v>
      </c>
      <c r="G17" s="175">
        <f t="shared" si="1"/>
        <v>0</v>
      </c>
      <c r="H17" s="175">
        <f t="shared" si="1"/>
        <v>-2.2315373175447811E-5</v>
      </c>
      <c r="I17" s="175">
        <f t="shared" si="1"/>
        <v>0</v>
      </c>
      <c r="J17" s="175">
        <f t="shared" si="1"/>
        <v>0</v>
      </c>
      <c r="K17" s="176">
        <f t="shared" si="1"/>
        <v>-4.945253880199699E-5</v>
      </c>
      <c r="L17" s="172"/>
      <c r="M17" s="176">
        <f>AVERAGE(D55:INDEX(D55:K55,0,MATCH('RFPR cover'!$C$7,$D$6:$K$6,0)))/AVERAGE($D$65:INDEX($D$65:$K$65,0,MATCH('RFPR cover'!$C$7,$D$6:$K$6,0)))</f>
        <v>-1.6787878782436323E-5</v>
      </c>
      <c r="N17" s="176">
        <f t="shared" si="3"/>
        <v>-2.1595165133326961E-5</v>
      </c>
    </row>
    <row r="18" spans="2:20">
      <c r="B18" s="251" t="str">
        <f t="shared" si="2"/>
        <v xml:space="preserve">Network Innovation </v>
      </c>
      <c r="C18" s="253" t="s">
        <v>7</v>
      </c>
      <c r="D18" s="174">
        <f t="shared" si="1"/>
        <v>-1.118652202994537E-4</v>
      </c>
      <c r="E18" s="175">
        <f t="shared" si="1"/>
        <v>-1.2322740003653833E-3</v>
      </c>
      <c r="F18" s="175">
        <f t="shared" si="1"/>
        <v>-1.3830611000454815E-3</v>
      </c>
      <c r="G18" s="175">
        <f t="shared" si="1"/>
        <v>-2.1573523576122696E-3</v>
      </c>
      <c r="H18" s="175">
        <f t="shared" si="1"/>
        <v>-1.3280537245463975E-4</v>
      </c>
      <c r="I18" s="175">
        <f t="shared" si="1"/>
        <v>5.8480984697968988E-4</v>
      </c>
      <c r="J18" s="175">
        <f t="shared" si="1"/>
        <v>-1.5696214325918001E-4</v>
      </c>
      <c r="K18" s="176">
        <f t="shared" si="1"/>
        <v>-1.118511666016114E-4</v>
      </c>
      <c r="L18" s="172"/>
      <c r="M18" s="176">
        <f>AVERAGE(D56:INDEX(D56:K56,0,MATCH('RFPR cover'!$C$7,$D$6:$K$6,0)))/AVERAGE($D$65:INDEX($D$65:$K$65,0,MATCH('RFPR cover'!$C$7,$D$6:$K$6,0)))</f>
        <v>-6.0971053593330312E-4</v>
      </c>
      <c r="N18" s="176">
        <f t="shared" si="3"/>
        <v>-5.3644014066765375E-4</v>
      </c>
    </row>
    <row r="19" spans="2:20">
      <c r="B19" s="251" t="str">
        <f>B57</f>
        <v>Penalties and fines</v>
      </c>
      <c r="C19" s="253" t="s">
        <v>7</v>
      </c>
      <c r="D19" s="184">
        <f t="shared" si="1"/>
        <v>0</v>
      </c>
      <c r="E19" s="185">
        <f t="shared" si="1"/>
        <v>0</v>
      </c>
      <c r="F19" s="185">
        <f t="shared" si="1"/>
        <v>0</v>
      </c>
      <c r="G19" s="185">
        <f t="shared" si="1"/>
        <v>0</v>
      </c>
      <c r="H19" s="185">
        <f t="shared" si="1"/>
        <v>0</v>
      </c>
      <c r="I19" s="185">
        <f t="shared" si="1"/>
        <v>0</v>
      </c>
      <c r="J19" s="185">
        <f t="shared" si="1"/>
        <v>0</v>
      </c>
      <c r="K19" s="186">
        <f t="shared" si="1"/>
        <v>0</v>
      </c>
      <c r="L19" s="172"/>
      <c r="M19" s="186">
        <f>AVERAGE(D57:INDEX(D57:K57,0,MATCH('RFPR cover'!$C$7,$D$6:$K$6,0)))/AVERAGE($D$65:INDEX($D$65:$K$65,0,MATCH('RFPR cover'!$C$7,$D$6:$K$6,0)))</f>
        <v>0</v>
      </c>
      <c r="N19" s="186">
        <f t="shared" si="3"/>
        <v>0</v>
      </c>
    </row>
    <row r="20" spans="2:20">
      <c r="B20" s="252" t="str">
        <f>B58</f>
        <v>RoRE - Operational performance</v>
      </c>
      <c r="C20" s="253" t="s">
        <v>7</v>
      </c>
      <c r="D20" s="187">
        <f t="shared" ref="D20:K20" si="4">SUM(D10:D19)</f>
        <v>0.11963151022374816</v>
      </c>
      <c r="E20" s="188">
        <f t="shared" si="4"/>
        <v>0.1075316453475698</v>
      </c>
      <c r="F20" s="188">
        <f t="shared" si="4"/>
        <v>0.12518613251187125</v>
      </c>
      <c r="G20" s="188">
        <f t="shared" si="4"/>
        <v>9.4200389079041255E-2</v>
      </c>
      <c r="H20" s="188">
        <f t="shared" si="4"/>
        <v>8.1977860993662222E-2</v>
      </c>
      <c r="I20" s="188">
        <f t="shared" si="4"/>
        <v>8.2027398696187234E-2</v>
      </c>
      <c r="J20" s="188">
        <f t="shared" si="4"/>
        <v>7.7134797377144709E-2</v>
      </c>
      <c r="K20" s="189">
        <f t="shared" si="4"/>
        <v>7.792252662817771E-2</v>
      </c>
      <c r="L20" s="173"/>
      <c r="M20" s="189">
        <f>SUM(M10:M19)</f>
        <v>9.5596988408360228E-2</v>
      </c>
      <c r="N20" s="189">
        <f>SUM(N10:N19)</f>
        <v>9.2995822535997558E-2</v>
      </c>
    </row>
    <row r="21" spans="2:20">
      <c r="B21" s="251" t="str">
        <f>B59</f>
        <v>Debt performance - at notional gearing</v>
      </c>
      <c r="C21" s="253" t="s">
        <v>7</v>
      </c>
      <c r="D21" s="174">
        <f>(D59)/D$65</f>
        <v>2.663879555914915E-2</v>
      </c>
      <c r="E21" s="175">
        <f t="shared" ref="E21:K21" si="5">(E59)/E$65</f>
        <v>1.5566156378066385E-2</v>
      </c>
      <c r="F21" s="175">
        <f t="shared" si="5"/>
        <v>3.2115354795847094E-3</v>
      </c>
      <c r="G21" s="175">
        <f t="shared" si="5"/>
        <v>1.6976527993427016E-2</v>
      </c>
      <c r="H21" s="175">
        <f t="shared" si="5"/>
        <v>3.7879597424701789E-2</v>
      </c>
      <c r="I21" s="175">
        <f t="shared" si="5"/>
        <v>2.7962849436916598E-2</v>
      </c>
      <c r="J21" s="175">
        <f t="shared" si="5"/>
        <v>1.8909639416301458E-2</v>
      </c>
      <c r="K21" s="176">
        <f t="shared" si="5"/>
        <v>1.4477322672707418E-2</v>
      </c>
      <c r="L21" s="172"/>
      <c r="M21" s="176">
        <f>AVERAGE(D59:INDEX(D59:K59,0,MATCH('RFPR cover'!$C$7,$D$6:$K$6,0)))/AVERAGE($D$65:INDEX($D$65:$K$65,0,MATCH('RFPR cover'!$C$7,$D$6:$K$6,0)))</f>
        <v>2.1593492343701479E-2</v>
      </c>
      <c r="N21" s="176">
        <f>AVERAGE(D59:K59)/AVERAGE($D$65:$K$65)</f>
        <v>2.0546199480114168E-2</v>
      </c>
    </row>
    <row r="22" spans="2:20">
      <c r="B22" s="251" t="str">
        <f>B61</f>
        <v>Tax performance - at notional gearing</v>
      </c>
      <c r="C22" s="253" t="s">
        <v>7</v>
      </c>
      <c r="D22" s="174">
        <f>(D61)/D$65</f>
        <v>-3.4477479505822545E-3</v>
      </c>
      <c r="E22" s="175">
        <f t="shared" ref="E22:K22" si="6">(E61)/E$65</f>
        <v>3.0683258519412899E-3</v>
      </c>
      <c r="F22" s="175">
        <f t="shared" si="6"/>
        <v>-5.9276656142190538E-4</v>
      </c>
      <c r="G22" s="175">
        <f t="shared" si="6"/>
        <v>-3.2376938367502509E-3</v>
      </c>
      <c r="H22" s="175">
        <f t="shared" si="6"/>
        <v>-7.9486516070449196E-5</v>
      </c>
      <c r="I22" s="175">
        <f t="shared" si="6"/>
        <v>-4.7121007731389623E-4</v>
      </c>
      <c r="J22" s="175">
        <f t="shared" si="6"/>
        <v>1.7012755687737918E-4</v>
      </c>
      <c r="K22" s="176">
        <f t="shared" si="6"/>
        <v>-3.0529491552364926E-3</v>
      </c>
      <c r="L22" s="172"/>
      <c r="M22" s="176">
        <f>AVERAGE(D61:INDEX(D61:K61,0,MATCH('RFPR cover'!$C$7,$D$6:$K$6,0)))/AVERAGE($D$65:INDEX($D$65:$K$65,0,MATCH('RFPR cover'!$C$7,$D$6:$K$6,0)))</f>
        <v>-6.3295506512349355E-4</v>
      </c>
      <c r="N22" s="176">
        <f>AVERAGE(D61:K61)/AVERAGE($D$65:$K$65)</f>
        <v>-9.8910769465245982E-4</v>
      </c>
    </row>
    <row r="23" spans="2:20">
      <c r="B23" s="252" t="str">
        <f>B63</f>
        <v>RoRE - including financing and tax</v>
      </c>
      <c r="C23" s="253" t="s">
        <v>7</v>
      </c>
      <c r="D23" s="190">
        <f>SUM(D20:D22)</f>
        <v>0.14282255783231504</v>
      </c>
      <c r="E23" s="191">
        <f t="shared" ref="E23:K23" si="7">SUM(E20:E22)</f>
        <v>0.12616612757757747</v>
      </c>
      <c r="F23" s="191">
        <f t="shared" si="7"/>
        <v>0.12780490143003406</v>
      </c>
      <c r="G23" s="191">
        <f t="shared" si="7"/>
        <v>0.10793922323571802</v>
      </c>
      <c r="H23" s="191">
        <f t="shared" si="7"/>
        <v>0.11977797190229356</v>
      </c>
      <c r="I23" s="191">
        <f t="shared" si="7"/>
        <v>0.10951903805578994</v>
      </c>
      <c r="J23" s="191">
        <f t="shared" si="7"/>
        <v>9.621456435032355E-2</v>
      </c>
      <c r="K23" s="192">
        <f t="shared" si="7"/>
        <v>8.9346900145648639E-2</v>
      </c>
      <c r="L23" s="173"/>
      <c r="M23" s="192">
        <f>SUM(M20:M22)</f>
        <v>0.11655752568693821</v>
      </c>
      <c r="N23" s="192">
        <f>SUM(N20:N22)</f>
        <v>0.11255291432145927</v>
      </c>
    </row>
    <row r="26" spans="2:20" s="29" customFormat="1">
      <c r="B26" s="459"/>
      <c r="C26" s="355"/>
      <c r="P26"/>
      <c r="Q26"/>
      <c r="R26"/>
      <c r="S26"/>
      <c r="T26"/>
    </row>
    <row r="27" spans="2:20">
      <c r="B27" s="521" t="s">
        <v>212</v>
      </c>
      <c r="C27" s="413"/>
      <c r="D27" s="216"/>
      <c r="E27" s="216"/>
      <c r="F27" s="216"/>
      <c r="G27" s="216"/>
      <c r="H27" s="216"/>
      <c r="I27" s="216"/>
      <c r="J27" s="216"/>
      <c r="K27" s="216"/>
      <c r="L27" s="522"/>
      <c r="M27" s="216"/>
      <c r="N27" s="216"/>
      <c r="O27" s="216"/>
    </row>
    <row r="28" spans="2:20">
      <c r="B28" s="196"/>
      <c r="L28" s="47"/>
    </row>
    <row r="29" spans="2:20">
      <c r="B29" s="251" t="s">
        <v>211</v>
      </c>
      <c r="C29" s="253" t="s">
        <v>7</v>
      </c>
      <c r="D29" s="174">
        <f t="shared" ref="D29:K38" si="8">D48/D$66</f>
        <v>5.9787428021133071E-2</v>
      </c>
      <c r="E29" s="175">
        <f t="shared" si="8"/>
        <v>7.7895053931727576E-2</v>
      </c>
      <c r="F29" s="175">
        <f t="shared" si="8"/>
        <v>9.0997286158998936E-2</v>
      </c>
      <c r="G29" s="175">
        <f t="shared" si="8"/>
        <v>7.7823572055699772E-2</v>
      </c>
      <c r="H29" s="175">
        <f t="shared" si="8"/>
        <v>6.9679978037004348E-2</v>
      </c>
      <c r="I29" s="175">
        <f t="shared" si="8"/>
        <v>7.0930760226507031E-2</v>
      </c>
      <c r="J29" s="175">
        <f t="shared" si="8"/>
        <v>7.1653013115846154E-2</v>
      </c>
      <c r="K29" s="176">
        <f t="shared" si="8"/>
        <v>6.9247349920191534E-2</v>
      </c>
      <c r="L29" s="172"/>
      <c r="M29" s="498">
        <f>AVERAGE(D48:INDEX(D48:K48,0,MATCH('RFPR cover'!$C$7,$D$6:$K$6,0)))/AVERAGE($D$66:INDEX($D$66:$K$66,0,MATCH('RFPR cover'!$C$7,$D$6:$K$6,0)))</f>
        <v>7.3250320520037632E-2</v>
      </c>
      <c r="N29" s="498">
        <f>AVERAGE(D48:K48)/AVERAGE($D$66:$K$66)</f>
        <v>7.2632401594635354E-2</v>
      </c>
    </row>
    <row r="30" spans="2:20">
      <c r="B30" s="251" t="str">
        <f t="shared" ref="B30:B37" si="9">B49</f>
        <v>Totex outperformance</v>
      </c>
      <c r="C30" s="253" t="s">
        <v>7</v>
      </c>
      <c r="D30" s="174">
        <f t="shared" si="8"/>
        <v>2.5222626395324136E-2</v>
      </c>
      <c r="E30" s="175">
        <f t="shared" si="8"/>
        <v>3.6571921647528226E-2</v>
      </c>
      <c r="F30" s="175">
        <f t="shared" si="8"/>
        <v>2.5879014011492431E-2</v>
      </c>
      <c r="G30" s="175">
        <f t="shared" si="8"/>
        <v>1.140307422327342E-2</v>
      </c>
      <c r="H30" s="175">
        <f t="shared" si="8"/>
        <v>1.7881500934120717E-4</v>
      </c>
      <c r="I30" s="175">
        <f t="shared" si="8"/>
        <v>-1.2246531004676714E-4</v>
      </c>
      <c r="J30" s="175">
        <f t="shared" si="8"/>
        <v>-4.3244560069854773E-3</v>
      </c>
      <c r="K30" s="176">
        <f t="shared" si="8"/>
        <v>3.4681867478890752E-4</v>
      </c>
      <c r="L30" s="172"/>
      <c r="M30" s="176">
        <f>AVERAGE(D49:INDEX(D49:K49,0,MATCH('RFPR cover'!$C$7,$D$6:$K$6,0)))/AVERAGE($D$66:INDEX($D$66:$K$66,0,MATCH('RFPR cover'!$C$7,$D$6:$K$6,0)))</f>
        <v>1.0849726962885079E-2</v>
      </c>
      <c r="N30" s="176">
        <f t="shared" ref="N30:N38" si="10">AVERAGE(D49:K49)/AVERAGE($D$66:$K$66)</f>
        <v>9.2284445574562935E-3</v>
      </c>
    </row>
    <row r="31" spans="2:20">
      <c r="B31" s="251" t="str">
        <f t="shared" si="9"/>
        <v>IQI Reward</v>
      </c>
      <c r="C31" s="253" t="s">
        <v>7</v>
      </c>
      <c r="D31" s="174">
        <f t="shared" si="8"/>
        <v>1.4407439893049288E-2</v>
      </c>
      <c r="E31" s="175">
        <f t="shared" si="8"/>
        <v>2.1419191779835493E-3</v>
      </c>
      <c r="F31" s="175">
        <f t="shared" si="8"/>
        <v>3.7106364720196516E-2</v>
      </c>
      <c r="G31" s="175">
        <f t="shared" si="8"/>
        <v>8.8181978289869987E-3</v>
      </c>
      <c r="H31" s="175">
        <f t="shared" si="8"/>
        <v>7.1870329060634112E-3</v>
      </c>
      <c r="I31" s="175">
        <f t="shared" si="8"/>
        <v>7.2033741949793714E-3</v>
      </c>
      <c r="J31" s="175">
        <f t="shared" si="8"/>
        <v>7.3632466535270211E-3</v>
      </c>
      <c r="K31" s="176">
        <f t="shared" si="8"/>
        <v>5.1551314338241254E-3</v>
      </c>
      <c r="L31" s="172"/>
      <c r="M31" s="176">
        <f>AVERAGE(D50:INDEX(D50:K50,0,MATCH('RFPR cover'!$C$7,$D$6:$K$6,0)))/AVERAGE($D$66:INDEX($D$66:$K$66,0,MATCH('RFPR cover'!$C$7,$D$6:$K$6,0)))</f>
        <v>1.098789598015751E-2</v>
      </c>
      <c r="N31" s="176">
        <f t="shared" si="10"/>
        <v>1.008752074364354E-2</v>
      </c>
    </row>
    <row r="32" spans="2:20">
      <c r="B32" s="251" t="str">
        <f t="shared" si="9"/>
        <v>Network Reliability Incentive</v>
      </c>
      <c r="C32" s="253" t="s">
        <v>7</v>
      </c>
      <c r="D32" s="174">
        <f t="shared" si="8"/>
        <v>2.5965972134193538E-3</v>
      </c>
      <c r="E32" s="175">
        <f t="shared" si="8"/>
        <v>3.6387921190765451E-3</v>
      </c>
      <c r="F32" s="175">
        <f t="shared" si="8"/>
        <v>3.5744728639149079E-3</v>
      </c>
      <c r="G32" s="175">
        <f t="shared" si="8"/>
        <v>2.719299248711407E-3</v>
      </c>
      <c r="H32" s="175">
        <f t="shared" si="8"/>
        <v>2.2827060250151113E-3</v>
      </c>
      <c r="I32" s="175">
        <f t="shared" si="8"/>
        <v>1.9015478015150368E-3</v>
      </c>
      <c r="J32" s="175">
        <f t="shared" si="8"/>
        <v>2.2785314708956817E-3</v>
      </c>
      <c r="K32" s="176">
        <f t="shared" si="8"/>
        <v>9.7841635967535262E-4</v>
      </c>
      <c r="L32" s="172"/>
      <c r="M32" s="176">
        <f>AVERAGE(D51:INDEX(D51:K51,0,MATCH('RFPR cover'!$C$7,$D$6:$K$6,0)))/AVERAGE($D$66:INDEX($D$66:$K$66,0,MATCH('RFPR cover'!$C$7,$D$6:$K$6,0)))</f>
        <v>2.6026433821393774E-3</v>
      </c>
      <c r="N32" s="176">
        <f t="shared" si="10"/>
        <v>2.3519194281915474E-3</v>
      </c>
    </row>
    <row r="33" spans="2:20">
      <c r="B33" s="251" t="str">
        <f t="shared" si="9"/>
        <v>Stakeholder Satisfaction Output</v>
      </c>
      <c r="C33" s="253" t="s">
        <v>7</v>
      </c>
      <c r="D33" s="174">
        <f t="shared" si="8"/>
        <v>4.7134604334366967E-4</v>
      </c>
      <c r="E33" s="175">
        <f t="shared" si="8"/>
        <v>8.7757898182517136E-4</v>
      </c>
      <c r="F33" s="175">
        <f t="shared" si="8"/>
        <v>1.2847813368605035E-3</v>
      </c>
      <c r="G33" s="175">
        <f t="shared" si="8"/>
        <v>2.0323043510201066E-3</v>
      </c>
      <c r="H33" s="175">
        <f t="shared" si="8"/>
        <v>2.2520467350277198E-3</v>
      </c>
      <c r="I33" s="175">
        <f t="shared" si="8"/>
        <v>1.8126560045489441E-3</v>
      </c>
      <c r="J33" s="175">
        <f t="shared" si="8"/>
        <v>1.8371052014981488E-3</v>
      </c>
      <c r="K33" s="176">
        <f t="shared" si="8"/>
        <v>9.7841635967535262E-4</v>
      </c>
      <c r="L33" s="172"/>
      <c r="M33" s="176">
        <f>AVERAGE(D52:INDEX(D52:K52,0,MATCH('RFPR cover'!$C$7,$D$6:$K$6,0)))/AVERAGE($D$66:INDEX($D$66:$K$66,0,MATCH('RFPR cover'!$C$7,$D$6:$K$6,0)))</f>
        <v>1.5923818102566341E-3</v>
      </c>
      <c r="N33" s="176">
        <f t="shared" si="10"/>
        <v>1.4976069769186365E-3</v>
      </c>
    </row>
    <row r="34" spans="2:20">
      <c r="B34" s="251" t="str">
        <f t="shared" si="9"/>
        <v>SF6 Emissions</v>
      </c>
      <c r="C34" s="253" t="s">
        <v>7</v>
      </c>
      <c r="D34" s="174">
        <f t="shared" si="8"/>
        <v>-1.4774215595620254E-4</v>
      </c>
      <c r="E34" s="175">
        <f t="shared" si="8"/>
        <v>-4.4027848657461888E-5</v>
      </c>
      <c r="F34" s="175">
        <f t="shared" si="8"/>
        <v>6.0609753334544961E-5</v>
      </c>
      <c r="G34" s="175">
        <f t="shared" si="8"/>
        <v>2.0531959734563859E-4</v>
      </c>
      <c r="H34" s="175">
        <f t="shared" si="8"/>
        <v>1.7691219765628011E-4</v>
      </c>
      <c r="I34" s="175">
        <f t="shared" si="8"/>
        <v>9.4092800748402958E-6</v>
      </c>
      <c r="J34" s="175">
        <f t="shared" si="8"/>
        <v>3.095232603945652E-4</v>
      </c>
      <c r="K34" s="176">
        <f t="shared" si="8"/>
        <v>4.892081798376764E-5</v>
      </c>
      <c r="L34" s="172"/>
      <c r="M34" s="176">
        <f>AVERAGE(D53:INDEX(D53:K53,0,MATCH('RFPR cover'!$C$7,$D$6:$K$6,0)))/AVERAGE($D$66:INDEX($D$66:$K$66,0,MATCH('RFPR cover'!$C$7,$D$6:$K$6,0)))</f>
        <v>9.6580887113826937E-5</v>
      </c>
      <c r="N34" s="176">
        <f t="shared" si="10"/>
        <v>8.9223836152079348E-5</v>
      </c>
    </row>
    <row r="35" spans="2:20">
      <c r="B35" s="251" t="str">
        <f t="shared" si="9"/>
        <v>Environmental Discretionary Reward</v>
      </c>
      <c r="C35" s="253" t="s">
        <v>7</v>
      </c>
      <c r="D35" s="174">
        <f t="shared" si="8"/>
        <v>0</v>
      </c>
      <c r="E35" s="175">
        <f t="shared" si="8"/>
        <v>0</v>
      </c>
      <c r="F35" s="175">
        <f t="shared" si="8"/>
        <v>5.632515869735376E-3</v>
      </c>
      <c r="G35" s="175">
        <f t="shared" si="8"/>
        <v>4.1254274638182608E-3</v>
      </c>
      <c r="H35" s="175">
        <f t="shared" si="8"/>
        <v>0</v>
      </c>
      <c r="I35" s="175">
        <f t="shared" si="8"/>
        <v>7.9021411512346352E-4</v>
      </c>
      <c r="J35" s="175">
        <f t="shared" si="8"/>
        <v>0</v>
      </c>
      <c r="K35" s="176">
        <f t="shared" si="8"/>
        <v>4.8920817983767631E-4</v>
      </c>
      <c r="L35" s="172"/>
      <c r="M35" s="176">
        <f>AVERAGE(D54:INDEX(D54:K54,0,MATCH('RFPR cover'!$C$7,$D$6:$K$6,0)))/AVERAGE($D$66:INDEX($D$66:$K$66,0,MATCH('RFPR cover'!$C$7,$D$6:$K$6,0)))</f>
        <v>1.311896905208953E-3</v>
      </c>
      <c r="N35" s="176">
        <f t="shared" si="10"/>
        <v>1.1849024843302327E-3</v>
      </c>
    </row>
    <row r="36" spans="2:20">
      <c r="B36" s="251" t="str">
        <f t="shared" si="9"/>
        <v xml:space="preserve">Performance re offers of timely connection </v>
      </c>
      <c r="C36" s="253" t="s">
        <v>7</v>
      </c>
      <c r="D36" s="174">
        <f t="shared" si="8"/>
        <v>-6.4146262191772219E-5</v>
      </c>
      <c r="E36" s="175">
        <f t="shared" si="8"/>
        <v>-5.0218531862496122E-5</v>
      </c>
      <c r="F36" s="175">
        <f t="shared" si="8"/>
        <v>0</v>
      </c>
      <c r="G36" s="175">
        <f t="shared" si="8"/>
        <v>0</v>
      </c>
      <c r="H36" s="175">
        <f t="shared" si="8"/>
        <v>-2.2213353039325136E-5</v>
      </c>
      <c r="I36" s="175">
        <f t="shared" si="8"/>
        <v>0</v>
      </c>
      <c r="J36" s="175">
        <f t="shared" si="8"/>
        <v>0</v>
      </c>
      <c r="K36" s="176">
        <f t="shared" si="8"/>
        <v>-4.892081798376764E-5</v>
      </c>
      <c r="L36" s="172"/>
      <c r="M36" s="176">
        <f>AVERAGE(D55:INDEX(D55:K55,0,MATCH('RFPR cover'!$C$7,$D$6:$K$6,0)))/AVERAGE($D$66:INDEX($D$66:$K$66,0,MATCH('RFPR cover'!$C$7,$D$6:$K$6,0)))</f>
        <v>-1.7567392880928572E-5</v>
      </c>
      <c r="N36" s="176">
        <f t="shared" si="10"/>
        <v>-2.2407267235232445E-5</v>
      </c>
    </row>
    <row r="37" spans="2:20">
      <c r="B37" s="251" t="str">
        <f t="shared" si="9"/>
        <v xml:space="preserve">Network Innovation </v>
      </c>
      <c r="C37" s="253" t="s">
        <v>7</v>
      </c>
      <c r="D37" s="174">
        <f t="shared" si="8"/>
        <v>-9.554476866745402E-5</v>
      </c>
      <c r="E37" s="175">
        <f t="shared" si="8"/>
        <v>-1.3712578531018171E-3</v>
      </c>
      <c r="F37" s="175">
        <f t="shared" si="8"/>
        <v>-1.7979258099459789E-3</v>
      </c>
      <c r="G37" s="175">
        <f t="shared" si="8"/>
        <v>-2.3984695236024599E-3</v>
      </c>
      <c r="H37" s="175">
        <f t="shared" si="8"/>
        <v>-1.3219822051193544E-4</v>
      </c>
      <c r="I37" s="175">
        <f t="shared" si="8"/>
        <v>5.9258581477452353E-4</v>
      </c>
      <c r="J37" s="175">
        <f t="shared" si="8"/>
        <v>-1.6066872156630496E-4</v>
      </c>
      <c r="K37" s="176">
        <f t="shared" si="8"/>
        <v>-1.1064852675204894E-4</v>
      </c>
      <c r="L37" s="172"/>
      <c r="M37" s="176">
        <f>AVERAGE(D56:INDEX(D56:K56,0,MATCH('RFPR cover'!$C$7,$D$6:$K$6,0)))/AVERAGE($D$66:INDEX($D$66:$K$66,0,MATCH('RFPR cover'!$C$7,$D$6:$K$6,0)))</f>
        <v>-6.3802131687940554E-4</v>
      </c>
      <c r="N37" s="176">
        <f t="shared" si="10"/>
        <v>-5.5661336754936732E-4</v>
      </c>
    </row>
    <row r="38" spans="2:20">
      <c r="B38" s="251" t="str">
        <f>B57</f>
        <v>Penalties and fines</v>
      </c>
      <c r="C38" s="253" t="s">
        <v>7</v>
      </c>
      <c r="D38" s="184">
        <f t="shared" si="8"/>
        <v>0</v>
      </c>
      <c r="E38" s="185">
        <f t="shared" si="8"/>
        <v>0</v>
      </c>
      <c r="F38" s="185">
        <f t="shared" si="8"/>
        <v>0</v>
      </c>
      <c r="G38" s="185">
        <f t="shared" si="8"/>
        <v>0</v>
      </c>
      <c r="H38" s="185">
        <f t="shared" si="8"/>
        <v>0</v>
      </c>
      <c r="I38" s="185">
        <f t="shared" si="8"/>
        <v>0</v>
      </c>
      <c r="J38" s="185">
        <f t="shared" si="8"/>
        <v>0</v>
      </c>
      <c r="K38" s="186">
        <f t="shared" si="8"/>
        <v>0</v>
      </c>
      <c r="L38" s="172"/>
      <c r="M38" s="186">
        <f>AVERAGE(D57:INDEX(D57:K57,0,MATCH('RFPR cover'!$C$7,$D$6:$K$6,0)))/AVERAGE($D$66:INDEX($D$66:$K$66,0,MATCH('RFPR cover'!$C$7,$D$6:$K$6,0)))</f>
        <v>0</v>
      </c>
      <c r="N38" s="186">
        <f t="shared" si="10"/>
        <v>0</v>
      </c>
    </row>
    <row r="39" spans="2:20">
      <c r="B39" s="252" t="str">
        <f>B58</f>
        <v>RoRE - Operational performance</v>
      </c>
      <c r="C39" s="253" t="s">
        <v>7</v>
      </c>
      <c r="D39" s="187">
        <f t="shared" ref="D39:K39" si="11">SUM(D29:D38)</f>
        <v>0.10217800437945411</v>
      </c>
      <c r="E39" s="188">
        <f t="shared" si="11"/>
        <v>0.1196597616245193</v>
      </c>
      <c r="F39" s="188">
        <f t="shared" si="11"/>
        <v>0.16273711890458722</v>
      </c>
      <c r="G39" s="188">
        <f t="shared" si="11"/>
        <v>0.10472872524525316</v>
      </c>
      <c r="H39" s="188">
        <f t="shared" si="11"/>
        <v>8.1603079336556819E-2</v>
      </c>
      <c r="I39" s="188">
        <f t="shared" si="11"/>
        <v>8.3118082127476442E-2</v>
      </c>
      <c r="J39" s="188">
        <f t="shared" si="11"/>
        <v>7.8956294973609786E-2</v>
      </c>
      <c r="K39" s="189">
        <f t="shared" si="11"/>
        <v>7.7084692401240898E-2</v>
      </c>
      <c r="L39" s="173"/>
      <c r="M39" s="189">
        <f>SUM(M29:M38)</f>
        <v>0.10003585773803868</v>
      </c>
      <c r="N39" s="189">
        <f>SUM(N29:N38)</f>
        <v>9.649299898654308E-2</v>
      </c>
    </row>
    <row r="40" spans="2:20">
      <c r="B40" s="251" t="s">
        <v>440</v>
      </c>
      <c r="C40" s="253" t="s">
        <v>7</v>
      </c>
      <c r="D40" s="174">
        <f>(D59+D60)/D$66</f>
        <v>2.3832647218953604E-2</v>
      </c>
      <c r="E40" s="175">
        <f t="shared" ref="E40:K40" si="12">(E59+E60)/E$66</f>
        <v>1.5690458645492223E-2</v>
      </c>
      <c r="F40" s="175">
        <f t="shared" si="12"/>
        <v>-2.6859556608137833E-3</v>
      </c>
      <c r="G40" s="175">
        <f t="shared" si="12"/>
        <v>1.7766308040260016E-2</v>
      </c>
      <c r="H40" s="175">
        <f t="shared" si="12"/>
        <v>3.766622508815215E-2</v>
      </c>
      <c r="I40" s="175">
        <f t="shared" si="12"/>
        <v>2.8384903252403091E-2</v>
      </c>
      <c r="J40" s="175">
        <f t="shared" si="12"/>
        <v>1.9348423779791447E-2</v>
      </c>
      <c r="K40" s="176">
        <f t="shared" si="12"/>
        <v>1.4311498754874316E-2</v>
      </c>
      <c r="L40" s="172"/>
      <c r="M40" s="176">
        <f>(AVERAGE(D59:INDEX(D59:K59,0,MATCH('RFPR cover'!$C$7,$D$6:$K$6,0)))+AVERAGE(D60:INDEX(D60:K60,0,MATCH('RFPR cover'!$C$7,$D$6:$K$6,0))))/AVERAGE($D$66:INDEX($D$66:$K$66,0,MATCH('RFPR cover'!$C$7,$D$6:$K$6,0)))</f>
        <v>2.1678136582732779E-2</v>
      </c>
      <c r="N40" s="176">
        <f>(AVERAGE(D59:K59)+AVERAGE(D60:K60))/AVERAGE($D$66:$K$66)</f>
        <v>2.0540984855814483E-2</v>
      </c>
    </row>
    <row r="41" spans="2:20">
      <c r="B41" s="251" t="s">
        <v>441</v>
      </c>
      <c r="C41" s="253" t="s">
        <v>7</v>
      </c>
      <c r="D41" s="174">
        <f>(D61+D62)/D$66</f>
        <v>-3.1932090868752507E-3</v>
      </c>
      <c r="E41" s="175">
        <f t="shared" ref="E41:K41" si="13">(E61+E62)/E$66</f>
        <v>3.756974994999631E-3</v>
      </c>
      <c r="F41" s="175">
        <f t="shared" si="13"/>
        <v>6.015919063615358E-4</v>
      </c>
      <c r="G41" s="175">
        <f t="shared" si="13"/>
        <v>-3.3780343178836298E-3</v>
      </c>
      <c r="H41" s="175">
        <f t="shared" si="13"/>
        <v>-7.1485774453299814E-5</v>
      </c>
      <c r="I41" s="175">
        <f t="shared" si="13"/>
        <v>-4.8702186031222638E-4</v>
      </c>
      <c r="J41" s="175">
        <f t="shared" si="13"/>
        <v>1.756188229198244E-4</v>
      </c>
      <c r="K41" s="176">
        <f t="shared" si="13"/>
        <v>-3.0181926909484185E-3</v>
      </c>
      <c r="L41" s="172"/>
      <c r="M41" s="176">
        <f>(AVERAGE(D61:INDEX(D61:K61,0,MATCH('RFPR cover'!$C$7,$D$6:$K$6,0)))+AVERAGE(D62:INDEX(D62:K62,0,MATCH('RFPR cover'!$C$7,$D$6:$K$6,0))))/AVERAGE($D$66:INDEX($D$66:$K$66,0,MATCH('RFPR cover'!$C$7,$D$6:$K$6,0)))</f>
        <v>-4.8114258992319888E-4</v>
      </c>
      <c r="N41" s="176">
        <f>(AVERAGE(D61:K61)+AVERAGE(D62:K62))/AVERAGE($D$66:$K$66)</f>
        <v>-8.7277456248316442E-4</v>
      </c>
    </row>
    <row r="42" spans="2:20">
      <c r="B42" s="252" t="str">
        <f>B63</f>
        <v>RoRE - including financing and tax</v>
      </c>
      <c r="C42" s="253" t="s">
        <v>7</v>
      </c>
      <c r="D42" s="190">
        <f>SUM(D39:D41)</f>
        <v>0.12281744251153247</v>
      </c>
      <c r="E42" s="191">
        <f t="shared" ref="E42:K42" si="14">SUM(E39:E41)</f>
        <v>0.13910719526501117</v>
      </c>
      <c r="F42" s="191">
        <f t="shared" si="14"/>
        <v>0.16065275515013497</v>
      </c>
      <c r="G42" s="191">
        <f t="shared" si="14"/>
        <v>0.11911699896762955</v>
      </c>
      <c r="H42" s="191">
        <f t="shared" si="14"/>
        <v>0.11919781865025567</v>
      </c>
      <c r="I42" s="191">
        <f t="shared" si="14"/>
        <v>0.1110159635195673</v>
      </c>
      <c r="J42" s="191">
        <f t="shared" si="14"/>
        <v>9.8480337576321048E-2</v>
      </c>
      <c r="K42" s="192">
        <f t="shared" si="14"/>
        <v>8.8377998465166807E-2</v>
      </c>
      <c r="L42" s="173"/>
      <c r="M42" s="192">
        <f>SUM(M39:M41)</f>
        <v>0.12123285173084826</v>
      </c>
      <c r="N42" s="192">
        <f>SUM(N39:N41)</f>
        <v>0.1161612092798744</v>
      </c>
    </row>
    <row r="43" spans="2:20" s="29" customFormat="1">
      <c r="B43" s="460"/>
      <c r="C43" s="461"/>
      <c r="D43" s="462"/>
      <c r="E43" s="462"/>
      <c r="F43" s="462"/>
      <c r="G43" s="462"/>
      <c r="H43" s="462"/>
      <c r="I43" s="462"/>
      <c r="J43" s="462"/>
      <c r="K43" s="462"/>
      <c r="L43" s="463"/>
      <c r="M43" s="462"/>
      <c r="N43" s="462"/>
      <c r="P43"/>
      <c r="Q43"/>
      <c r="R43"/>
      <c r="S43"/>
      <c r="T43"/>
    </row>
    <row r="44" spans="2:20" s="29" customFormat="1">
      <c r="B44" s="460"/>
      <c r="C44" s="461"/>
      <c r="D44" s="462"/>
      <c r="E44" s="462"/>
      <c r="F44" s="462"/>
      <c r="G44" s="462"/>
      <c r="H44" s="462"/>
      <c r="I44" s="462"/>
      <c r="J44" s="462"/>
      <c r="K44" s="462"/>
      <c r="L44" s="463"/>
      <c r="M44" s="462"/>
      <c r="N44" s="462"/>
      <c r="P44"/>
      <c r="Q44"/>
      <c r="R44"/>
      <c r="S44"/>
      <c r="T44"/>
    </row>
    <row r="45" spans="2:20" s="29" customFormat="1">
      <c r="B45" s="515" t="s">
        <v>376</v>
      </c>
      <c r="C45" s="516"/>
      <c r="D45" s="517"/>
      <c r="E45" s="517"/>
      <c r="F45" s="517"/>
      <c r="G45" s="517"/>
      <c r="H45" s="517"/>
      <c r="I45" s="517"/>
      <c r="J45" s="517"/>
      <c r="K45" s="517"/>
      <c r="L45" s="518"/>
      <c r="M45" s="517"/>
      <c r="N45" s="517"/>
      <c r="O45" s="216"/>
      <c r="P45"/>
      <c r="Q45"/>
      <c r="R45"/>
      <c r="S45"/>
      <c r="T45"/>
    </row>
    <row r="46" spans="2:20" s="29" customFormat="1">
      <c r="B46" s="520" t="str">
        <f>"Input values provided in "&amp;'RFPR cover'!C14&amp;" prices"</f>
        <v>Input values provided in £m 09/10 prices</v>
      </c>
      <c r="C46" s="519"/>
      <c r="D46" s="519"/>
      <c r="E46" s="519"/>
      <c r="F46" s="519"/>
      <c r="G46" s="519"/>
      <c r="H46" s="519"/>
      <c r="I46" s="519"/>
      <c r="J46" s="519"/>
      <c r="K46" s="519"/>
      <c r="L46" s="519"/>
      <c r="M46" s="519"/>
      <c r="N46" s="519"/>
      <c r="O46" s="519"/>
      <c r="P46"/>
      <c r="Q46"/>
      <c r="R46"/>
      <c r="S46"/>
      <c r="T46"/>
    </row>
    <row r="48" spans="2:20">
      <c r="B48" s="246" t="s">
        <v>224</v>
      </c>
      <c r="C48" s="332" t="str">
        <f>'RFPR cover'!$C$14</f>
        <v>£m 09/10</v>
      </c>
      <c r="D48" s="177">
        <f>'R9 - RAV'!D50</f>
        <v>34.997498052506998</v>
      </c>
      <c r="E48" s="178">
        <f>'R9 - RAV'!E50</f>
        <v>38.534486333729262</v>
      </c>
      <c r="F48" s="178">
        <f>'R9 - RAV'!F50</f>
        <v>43.534226461033803</v>
      </c>
      <c r="G48" s="178">
        <f>'R9 - RAV'!G50</f>
        <v>49.766772413094834</v>
      </c>
      <c r="H48" s="178">
        <f>'R9 - RAV'!H50</f>
        <v>54.202924969249516</v>
      </c>
      <c r="I48" s="178">
        <f>'R9 - RAV'!I50</f>
        <v>55.373380227788438</v>
      </c>
      <c r="J48" s="178">
        <f>'R9 - RAV'!J50</f>
        <v>55.79455171654255</v>
      </c>
      <c r="K48" s="179">
        <f>'R9 - RAV'!K50</f>
        <v>57.327693758070879</v>
      </c>
      <c r="M48" s="94">
        <f>SUM(D48:INDEX(D48:K48,0,MATCH('RFPR cover'!$C$7,$D$6:$K$6,0)))</f>
        <v>332.20384017394542</v>
      </c>
      <c r="N48" s="94">
        <f>SUM(D48:K48)</f>
        <v>389.53153393201632</v>
      </c>
    </row>
    <row r="49" spans="2:14">
      <c r="B49" s="246" t="s">
        <v>99</v>
      </c>
      <c r="C49" s="332" t="str">
        <f>'RFPR cover'!$C$14</f>
        <v>£m 09/10</v>
      </c>
      <c r="D49" s="250">
        <f>'R4 - Totex'!D37+'R4 - Totex'!D65</f>
        <v>14.764455461061978</v>
      </c>
      <c r="E49" s="250">
        <f>'R4 - Totex'!E37+'R4 - Totex'!E65</f>
        <v>18.092037219206254</v>
      </c>
      <c r="F49" s="250">
        <f>'R4 - Totex'!F37+'R4 - Totex'!F65</f>
        <v>12.380840177981108</v>
      </c>
      <c r="G49" s="250">
        <f>'R4 - Totex'!G37+'R4 - Totex'!G65</f>
        <v>7.292060550408948</v>
      </c>
      <c r="H49" s="250">
        <f>'R4 - Totex'!H37+'R4 - Totex'!H65</f>
        <v>0.13909729606329524</v>
      </c>
      <c r="I49" s="250">
        <f>'R4 - Totex'!I37+'R4 - Totex'!I65</f>
        <v>-9.560475816526548E-2</v>
      </c>
      <c r="J49" s="250">
        <f>'R4 - Totex'!J37+'R4 - Totex'!J65</f>
        <v>-3.3673543349470769</v>
      </c>
      <c r="K49" s="250">
        <f>'R4 - Totex'!K37+'R4 - Totex'!K65</f>
        <v>0.28712022627281897</v>
      </c>
      <c r="M49" s="94">
        <f>SUM(D49:INDEX(D49:K49,0,MATCH('RFPR cover'!$C$7,$D$6:$K$6,0)))</f>
        <v>49.205531611609246</v>
      </c>
      <c r="N49" s="94">
        <f>SUM(D49:K49)</f>
        <v>49.492651837882065</v>
      </c>
    </row>
    <row r="50" spans="2:14">
      <c r="B50" s="248" t="s">
        <v>107</v>
      </c>
      <c r="C50" s="332" t="str">
        <f>'RFPR cover'!$C$14</f>
        <v>£m 09/10</v>
      </c>
      <c r="D50" s="241">
        <f>'R4 - Totex'!D81</f>
        <v>8.4336183423106252</v>
      </c>
      <c r="E50" s="180">
        <f>'R4 - Totex'!E81</f>
        <v>1.059602004567598</v>
      </c>
      <c r="F50" s="180">
        <f>'R4 - Totex'!F81</f>
        <v>17.752143531535417</v>
      </c>
      <c r="G50" s="180">
        <f>'R4 - Totex'!G81</f>
        <v>5.6390786603157661</v>
      </c>
      <c r="H50" s="180">
        <f>'R4 - Totex'!H81</f>
        <v>5.5906763511320721</v>
      </c>
      <c r="I50" s="180">
        <f>'R4 - Totex'!I81</f>
        <v>5.6234442849319883</v>
      </c>
      <c r="J50" s="180">
        <f>'R4 - Totex'!J81</f>
        <v>5.733590652324108</v>
      </c>
      <c r="K50" s="181">
        <f>'R4 - Totex'!K81</f>
        <v>4.2677704845236457</v>
      </c>
      <c r="M50" s="94">
        <f>SUM(D50:INDEX(D50:K50,0,MATCH('RFPR cover'!$C$7,$D$6:$K$6,0)))</f>
        <v>49.83215382711758</v>
      </c>
      <c r="N50" s="94">
        <f t="shared" ref="N50:N57" si="15">SUM(D50:K50)</f>
        <v>54.099924311641225</v>
      </c>
    </row>
    <row r="51" spans="2:14">
      <c r="B51" s="249" t="str">
        <f>'R5 - Output Incentives'!B39</f>
        <v>Network Reliability Incentive</v>
      </c>
      <c r="C51" s="332" t="str">
        <f>'RFPR cover'!$C$14</f>
        <v>£m 09/10</v>
      </c>
      <c r="D51" s="241">
        <f>'R5 - Output Incentives'!D39</f>
        <v>1.5199584415584417</v>
      </c>
      <c r="E51" s="180">
        <f>'R5 - Output Incentives'!E39</f>
        <v>1.8001012658227844</v>
      </c>
      <c r="F51" s="180">
        <f>'R5 - Output Incentives'!F39</f>
        <v>1.7100720000000003</v>
      </c>
      <c r="G51" s="180">
        <f>'R5 - Output Incentives'!G39</f>
        <v>1.7389428839999999</v>
      </c>
      <c r="H51" s="180">
        <f>'R5 - Output Incentives'!H39</f>
        <v>1.7756800000000001</v>
      </c>
      <c r="I51" s="180">
        <f>'R5 - Output Incentives'!I39</f>
        <v>1.4844776666479067</v>
      </c>
      <c r="J51" s="180">
        <f>'R5 - Output Incentives'!J39</f>
        <v>1.77424</v>
      </c>
      <c r="K51" s="181">
        <f>'R5 - Output Incentives'!K39</f>
        <v>0.81</v>
      </c>
      <c r="M51" s="94">
        <f>SUM(D51:INDEX(D51:K51,0,MATCH('RFPR cover'!$C$7,$D$6:$K$6,0)))</f>
        <v>11.803472258029133</v>
      </c>
      <c r="N51" s="94">
        <f t="shared" si="15"/>
        <v>12.613472258029134</v>
      </c>
    </row>
    <row r="52" spans="2:14">
      <c r="B52" s="249" t="str">
        <f>'R5 - Output Incentives'!B40</f>
        <v>Stakeholder Satisfaction Output</v>
      </c>
      <c r="C52" s="332" t="str">
        <f>'RFPR cover'!$C$14</f>
        <v>£m 09/10</v>
      </c>
      <c r="D52" s="241">
        <f>'R5 - Output Incentives'!D40</f>
        <v>0.27590971513519763</v>
      </c>
      <c r="E52" s="180">
        <f>'R5 - Output Incentives'!E40</f>
        <v>0.43413610460491664</v>
      </c>
      <c r="F52" s="180">
        <f>'R5 - Output Incentives'!F40</f>
        <v>0.61465527196124703</v>
      </c>
      <c r="G52" s="180">
        <f>'R5 - Output Incentives'!G40</f>
        <v>1.2996220224763186</v>
      </c>
      <c r="H52" s="180">
        <f>'R5 - Output Incentives'!H40</f>
        <v>1.7518306354965483</v>
      </c>
      <c r="I52" s="180">
        <f>'R5 - Output Incentives'!I40</f>
        <v>1.4150826783971624</v>
      </c>
      <c r="J52" s="180">
        <f>'R5 - Output Incentives'!J40</f>
        <v>1.430511526542485</v>
      </c>
      <c r="K52" s="181">
        <f>'R5 - Output Incentives'!K40</f>
        <v>0.81</v>
      </c>
      <c r="M52" s="94">
        <f>SUM(D52:INDEX(D52:K52,0,MATCH('RFPR cover'!$C$7,$D$6:$K$6,0)))</f>
        <v>7.2217479546138765</v>
      </c>
      <c r="N52" s="94">
        <f t="shared" si="15"/>
        <v>8.031747954613877</v>
      </c>
    </row>
    <row r="53" spans="2:14">
      <c r="B53" s="249" t="str">
        <f>'R5 - Output Incentives'!B41</f>
        <v>SF6 Emissions</v>
      </c>
      <c r="C53" s="332" t="str">
        <f>'RFPR cover'!$C$14</f>
        <v>£m 09/10</v>
      </c>
      <c r="D53" s="241">
        <f>'R5 - Output Incentives'!D41</f>
        <v>-8.6483161870129763E-2</v>
      </c>
      <c r="E53" s="180">
        <f>'R5 - Output Incentives'!E41</f>
        <v>-2.1780465469366905E-2</v>
      </c>
      <c r="F53" s="180">
        <f>'R5 - Output Incentives'!F41</f>
        <v>2.8996455155850181E-2</v>
      </c>
      <c r="G53" s="180">
        <f>'R5 - Output Incentives'!G41</f>
        <v>0.13129818386819084</v>
      </c>
      <c r="H53" s="180">
        <f>'R5 - Output Incentives'!H41</f>
        <v>0.13761712971000017</v>
      </c>
      <c r="I53" s="180">
        <f>'R5 - Output Incentives'!I41</f>
        <v>7.3455245875001535E-3</v>
      </c>
      <c r="J53" s="180">
        <f>'R5 - Output Incentives'!J41</f>
        <v>0.24101863702000015</v>
      </c>
      <c r="K53" s="181">
        <f>'R5 - Output Incentives'!K41</f>
        <v>4.0500000000000008E-2</v>
      </c>
      <c r="M53" s="94">
        <f>SUM(D53:INDEX(D53:K53,0,MATCH('RFPR cover'!$C$7,$D$6:$K$6,0)))</f>
        <v>0.43801230300204486</v>
      </c>
      <c r="N53" s="94">
        <f t="shared" si="15"/>
        <v>0.47851230300204484</v>
      </c>
    </row>
    <row r="54" spans="2:14">
      <c r="B54" s="249" t="str">
        <f>'R5 - Output Incentives'!B42</f>
        <v>Environmental Discretionary Reward</v>
      </c>
      <c r="C54" s="332" t="str">
        <f>'RFPR cover'!$C$14</f>
        <v>£m 09/10</v>
      </c>
      <c r="D54" s="241">
        <f>'R5 - Output Incentives'!D42</f>
        <v>0</v>
      </c>
      <c r="E54" s="180">
        <f>'R5 - Output Incentives'!E42</f>
        <v>0</v>
      </c>
      <c r="F54" s="180">
        <f>'R5 - Output Incentives'!F42</f>
        <v>2.6946652122127874</v>
      </c>
      <c r="G54" s="180">
        <f>'R5 - Output Incentives'!G42</f>
        <v>2.6381365475184153</v>
      </c>
      <c r="H54" s="180">
        <f>'R5 - Output Incentives'!H42</f>
        <v>0</v>
      </c>
      <c r="I54" s="180">
        <f>'R5 - Output Incentives'!I42</f>
        <v>0.61689493413528751</v>
      </c>
      <c r="J54" s="180">
        <f>'R5 - Output Incentives'!J42</f>
        <v>0</v>
      </c>
      <c r="K54" s="181">
        <f>'R5 - Output Incentives'!K42</f>
        <v>0.40500000000000003</v>
      </c>
      <c r="M54" s="94">
        <f>SUM(D54:INDEX(D54:K54,0,MATCH('RFPR cover'!$C$7,$D$6:$K$6,0)))</f>
        <v>5.9496966938664899</v>
      </c>
      <c r="N54" s="94">
        <f t="shared" si="15"/>
        <v>6.3546966938664902</v>
      </c>
    </row>
    <row r="55" spans="2:14">
      <c r="B55" s="249" t="str">
        <f>'R5 - Output Incentives'!B43</f>
        <v xml:space="preserve">Performance re offers of timely connection </v>
      </c>
      <c r="C55" s="332" t="str">
        <f>'RFPR cover'!$C$14</f>
        <v>£m 09/10</v>
      </c>
      <c r="D55" s="241">
        <f>'R5 - Output Incentives'!D43</f>
        <v>-3.7549009222116486E-2</v>
      </c>
      <c r="E55" s="180">
        <f>'R5 - Output Incentives'!E43</f>
        <v>-2.4842980806604163E-2</v>
      </c>
      <c r="F55" s="180">
        <f>'R5 - Output Incentives'!F43</f>
        <v>0</v>
      </c>
      <c r="G55" s="180">
        <f>'R5 - Output Incentives'!G43</f>
        <v>0</v>
      </c>
      <c r="H55" s="180">
        <f>'R5 - Output Incentives'!H43</f>
        <v>-1.7279407112708586E-2</v>
      </c>
      <c r="I55" s="180">
        <f>'R5 - Output Incentives'!I43</f>
        <v>0</v>
      </c>
      <c r="J55" s="180">
        <f>'R5 - Output Incentives'!J43</f>
        <v>0</v>
      </c>
      <c r="K55" s="181">
        <f>'R5 - Output Incentives'!K43</f>
        <v>-4.0500000000000008E-2</v>
      </c>
      <c r="M55" s="94">
        <f>SUM(D55:INDEX(D55:K55,0,MATCH('RFPR cover'!$C$7,$D$6:$K$6,0)))</f>
        <v>-7.9671397141429234E-2</v>
      </c>
      <c r="N55" s="94">
        <f t="shared" si="15"/>
        <v>-0.12017139714142924</v>
      </c>
    </row>
    <row r="56" spans="2:14">
      <c r="B56" s="246" t="s">
        <v>482</v>
      </c>
      <c r="C56" s="332" t="str">
        <f>'RFPR cover'!$C$14</f>
        <v>£m 09/10</v>
      </c>
      <c r="D56" s="241">
        <f>-'R6 - Innovation'!D28</f>
        <v>-5.5928611851048526E-2</v>
      </c>
      <c r="E56" s="180">
        <f>-'R6 - Innovation'!E28</f>
        <v>-0.67835779466413915</v>
      </c>
      <c r="F56" s="180">
        <f>-'R6 - Innovation'!F28</f>
        <v>-0.86014993055466449</v>
      </c>
      <c r="G56" s="180">
        <f>-'R6 - Innovation'!G28</f>
        <v>-1.5337780542306196</v>
      </c>
      <c r="H56" s="180">
        <f>-'R6 - Innovation'!H28</f>
        <v>-0.10283485198102964</v>
      </c>
      <c r="I56" s="180">
        <f>-'R6 - Innovation'!I28</f>
        <v>0.46261282882515908</v>
      </c>
      <c r="J56" s="180">
        <f>-'R6 - Innovation'!J28</f>
        <v>-0.12510903456590969</v>
      </c>
      <c r="K56" s="181">
        <f>-'R6 - Innovation'!K28</f>
        <v>-9.1602420363144907E-2</v>
      </c>
      <c r="M56" s="94">
        <f>SUM(D56:INDEX(D56:K56,0,MATCH('RFPR cover'!$C$7,$D$6:$K$6,0)))</f>
        <v>-2.8935454490222523</v>
      </c>
      <c r="N56" s="94">
        <f t="shared" si="15"/>
        <v>-2.985147869385397</v>
      </c>
    </row>
    <row r="57" spans="2:14">
      <c r="B57" s="246" t="s">
        <v>33</v>
      </c>
      <c r="C57" s="332" t="str">
        <f>'RFPR cover'!$C$14</f>
        <v>£m 09/10</v>
      </c>
      <c r="D57" s="242">
        <f>-'R13 - Other Activities '!D8</f>
        <v>0</v>
      </c>
      <c r="E57" s="242">
        <f>-'R13 - Other Activities '!E8</f>
        <v>0</v>
      </c>
      <c r="F57" s="242">
        <f>-'R13 - Other Activities '!F8</f>
        <v>0</v>
      </c>
      <c r="G57" s="242">
        <f>-'R13 - Other Activities '!G8</f>
        <v>0</v>
      </c>
      <c r="H57" s="242">
        <f>-'R13 - Other Activities '!H8</f>
        <v>0</v>
      </c>
      <c r="I57" s="242">
        <f>-'R13 - Other Activities '!I8</f>
        <v>0</v>
      </c>
      <c r="J57" s="242">
        <f>-'R13 - Other Activities '!J8</f>
        <v>0</v>
      </c>
      <c r="K57" s="242">
        <f>-'R13 - Other Activities '!K8</f>
        <v>0</v>
      </c>
      <c r="M57" s="94">
        <f>SUM(D57:INDEX(D57:K57,0,MATCH('RFPR cover'!$C$7,$D$6:$K$6,0)))</f>
        <v>0</v>
      </c>
      <c r="N57" s="94">
        <f t="shared" si="15"/>
        <v>0</v>
      </c>
    </row>
    <row r="58" spans="2:14">
      <c r="B58" s="247" t="s">
        <v>100</v>
      </c>
      <c r="C58" s="332" t="str">
        <f>'RFPR cover'!$C$14</f>
        <v>£m 09/10</v>
      </c>
      <c r="D58" s="243">
        <f t="shared" ref="D58:K58" si="16">SUM(D48:D57)</f>
        <v>59.811479229629946</v>
      </c>
      <c r="E58" s="142">
        <f t="shared" si="16"/>
        <v>59.195381686990707</v>
      </c>
      <c r="F58" s="142">
        <f t="shared" si="16"/>
        <v>77.855449179325532</v>
      </c>
      <c r="G58" s="142">
        <f t="shared" si="16"/>
        <v>66.972133207451847</v>
      </c>
      <c r="H58" s="142">
        <f t="shared" si="16"/>
        <v>63.477712122557698</v>
      </c>
      <c r="I58" s="142">
        <f t="shared" si="16"/>
        <v>64.887633387148171</v>
      </c>
      <c r="J58" s="142">
        <f t="shared" si="16"/>
        <v>61.481449162916157</v>
      </c>
      <c r="K58" s="143">
        <f t="shared" si="16"/>
        <v>63.815982048504203</v>
      </c>
      <c r="M58" s="141">
        <f>SUM(M48:M57)</f>
        <v>453.68123797602004</v>
      </c>
      <c r="N58" s="143">
        <f>SUM(N48:N57)</f>
        <v>517.49722002452438</v>
      </c>
    </row>
    <row r="59" spans="2:14">
      <c r="B59" s="246" t="s">
        <v>421</v>
      </c>
      <c r="C59" s="332" t="str">
        <f>'RFPR cover'!$C$14</f>
        <v>£m 09/10</v>
      </c>
      <c r="D59" s="241">
        <f>'R7 - Financing'!D88+'R10 - Tax'!D88</f>
        <v>13.318445652892205</v>
      </c>
      <c r="E59" s="180">
        <f>'R7 - Financing'!E88+'R10 - Tax'!E88</f>
        <v>8.5690548602755943</v>
      </c>
      <c r="F59" s="180">
        <f>'R7 - Financing'!F88+'R10 - Tax'!F88</f>
        <v>1.9973101836555074</v>
      </c>
      <c r="G59" s="180">
        <f>'R7 - Financing'!G88+'R10 - Tax'!G88</f>
        <v>12.069528643048796</v>
      </c>
      <c r="H59" s="180">
        <f>'R7 - Financing'!H88+'R10 - Tax'!H88</f>
        <v>29.331213958235544</v>
      </c>
      <c r="I59" s="180">
        <f>'R7 - Financing'!I88+'R10 - Tax'!I88</f>
        <v>22.119964201754033</v>
      </c>
      <c r="J59" s="180">
        <f>'R7 - Financing'!J88+'R10 - Tax'!J88</f>
        <v>15.072212205057186</v>
      </c>
      <c r="K59" s="181">
        <f>'R7 - Financing'!K88+'R10 - Tax'!K88</f>
        <v>11.856450294539243</v>
      </c>
      <c r="M59" s="94">
        <f>SUM(D59:INDEX(D59:K59,0,MATCH('RFPR cover'!$C$7,$D$6:$K$6,0)))</f>
        <v>102.47772970491887</v>
      </c>
      <c r="N59" s="94">
        <f>SUM(D59:K59)</f>
        <v>114.33417999945812</v>
      </c>
    </row>
    <row r="60" spans="2:14">
      <c r="B60" s="246" t="s">
        <v>416</v>
      </c>
      <c r="C60" s="332" t="str">
        <f>'RFPR cover'!$C$14</f>
        <v>£m 09/10</v>
      </c>
      <c r="D60" s="241">
        <f>'R7 - Financing'!D90+'R10 - Tax'!D89</f>
        <v>0.63236394434605714</v>
      </c>
      <c r="E60" s="180">
        <f>'R7 - Financing'!E90+'R10 - Tax'!E89</f>
        <v>-0.80702461924646762</v>
      </c>
      <c r="F60" s="180">
        <f>'R7 - Financing'!F90+'R10 - Tax'!F89</f>
        <v>-3.2823045712666961</v>
      </c>
      <c r="G60" s="180">
        <f>'R7 - Financing'!G90+'R10 - Tax'!G89</f>
        <v>-0.70829469419151536</v>
      </c>
      <c r="H60" s="180">
        <f>'R7 - Financing'!H90+'R10 - Tax'!H89</f>
        <v>-3.126826589119247E-2</v>
      </c>
      <c r="I60" s="180">
        <f>'R7 - Financing'!I90+'R10 - Tax'!I89</f>
        <v>3.9223652783167751E-2</v>
      </c>
      <c r="J60" s="180">
        <f>'R7 - Financing'!J90+'R10 - Tax'!J89</f>
        <v>-6.040047442580132E-3</v>
      </c>
      <c r="K60" s="181">
        <f>'R7 - Financing'!K90+'R10 - Tax'!K89</f>
        <v>-8.4125171510667229E-3</v>
      </c>
      <c r="M60" s="94">
        <f>SUM(D60:INDEX(D60:K60,0,MATCH('RFPR cover'!$C$7,$D$6:$K$6,0)))</f>
        <v>-4.1633446009092268</v>
      </c>
      <c r="N60" s="94">
        <f>SUM(D60:K60)</f>
        <v>-4.1717571180602935</v>
      </c>
    </row>
    <row r="61" spans="2:14">
      <c r="B61" s="246" t="s">
        <v>422</v>
      </c>
      <c r="C61" s="332" t="str">
        <f>'RFPR cover'!$C$14</f>
        <v>£m 09/10</v>
      </c>
      <c r="D61" s="241">
        <f>'R10 - Tax'!D81-'R10 - Tax'!D88</f>
        <v>-1.7237507455148204</v>
      </c>
      <c r="E61" s="180">
        <f>'R10 - Tax'!E81-'R10 - Tax'!E88</f>
        <v>1.6890908658437116</v>
      </c>
      <c r="F61" s="180">
        <f>'R10 - Tax'!F81-'R10 - Tax'!F88</f>
        <v>-0.368651910335279</v>
      </c>
      <c r="G61" s="180">
        <f>'R10 - Tax'!G81-'R10 - Tax'!G88</f>
        <v>-2.3018510330975648</v>
      </c>
      <c r="H61" s="180">
        <f>'R10 - Tax'!H81-'R10 - Tax'!H88</f>
        <v>-6.1548595237622905E-2</v>
      </c>
      <c r="I61" s="180">
        <f>'R10 - Tax'!I81-'R10 - Tax'!I88</f>
        <v>-0.37274992540382801</v>
      </c>
      <c r="J61" s="180">
        <f>'R10 - Tax'!J81-'R10 - Tax'!J88</f>
        <v>0.13560272529434236</v>
      </c>
      <c r="K61" s="181">
        <f>'R10 - Tax'!K81-'R10 - Tax'!K88</f>
        <v>-2.5002647747194118</v>
      </c>
      <c r="M61" s="94">
        <f>SUM(D61:INDEX(D61:K61,0,MATCH('RFPR cover'!$C$7,$D$6:$K$6,0)))</f>
        <v>-3.0038586184510612</v>
      </c>
      <c r="N61" s="94">
        <f>SUM(D61:K61)</f>
        <v>-5.5041233931704729</v>
      </c>
    </row>
    <row r="62" spans="2:14">
      <c r="B62" s="246" t="s">
        <v>417</v>
      </c>
      <c r="C62" s="332" t="str">
        <f>'RFPR cover'!$C$14</f>
        <v>£m 09/10</v>
      </c>
      <c r="D62" s="241">
        <f>'R10 - Tax'!D83-'R10 - Tax'!D89</f>
        <v>-0.14544370719959332</v>
      </c>
      <c r="E62" s="180">
        <f>'R10 - Tax'!E83-'R10 - Tax'!E89</f>
        <v>0.16947517004175872</v>
      </c>
      <c r="F62" s="180">
        <f>'R10 - Tax'!F83-'R10 - Tax'!F89</f>
        <v>0.65646091425333886</v>
      </c>
      <c r="G62" s="180">
        <f>'R10 - Tax'!G83-'R10 - Tax'!G89</f>
        <v>0.14165893883830272</v>
      </c>
      <c r="H62" s="180">
        <f>'R10 - Tax'!H83-'R10 - Tax'!H89</f>
        <v>5.940970519326072E-3</v>
      </c>
      <c r="I62" s="180">
        <f>'R10 - Tax'!I83-'R10 - Tax'!I89</f>
        <v>-7.4524940288025476E-3</v>
      </c>
      <c r="J62" s="180">
        <f>'R10 - Tax'!J83-'R10 - Tax'!J89</f>
        <v>1.1476090140902784E-3</v>
      </c>
      <c r="K62" s="181">
        <f>'R10 - Tax'!K83-'R10 - Tax'!K89</f>
        <v>1.5983782587021267E-3</v>
      </c>
      <c r="M62" s="94">
        <f>SUM(D62:INDEX(D62:K62,0,MATCH('RFPR cover'!$C$7,$D$6:$K$6,0)))</f>
        <v>0.82178740143842077</v>
      </c>
      <c r="N62" s="94">
        <f>SUM(D62:K62)</f>
        <v>0.8233857796971229</v>
      </c>
    </row>
    <row r="63" spans="2:14">
      <c r="B63" s="247" t="s">
        <v>101</v>
      </c>
      <c r="C63" s="332" t="str">
        <f>'RFPR cover'!$C$14</f>
        <v>£m 09/10</v>
      </c>
      <c r="D63" s="244">
        <f>SUM(D58:D62)</f>
        <v>71.89309437415379</v>
      </c>
      <c r="E63" s="145">
        <f t="shared" ref="E63:K63" si="17">SUM(E58:E62)</f>
        <v>68.815977963905311</v>
      </c>
      <c r="F63" s="145">
        <f t="shared" si="17"/>
        <v>76.858263795632411</v>
      </c>
      <c r="G63" s="145">
        <f t="shared" si="17"/>
        <v>76.173175062049864</v>
      </c>
      <c r="H63" s="145">
        <f t="shared" si="17"/>
        <v>92.722050190183751</v>
      </c>
      <c r="I63" s="145">
        <f t="shared" si="17"/>
        <v>86.666618822252744</v>
      </c>
      <c r="J63" s="145">
        <f t="shared" si="17"/>
        <v>76.684371654839197</v>
      </c>
      <c r="K63" s="146">
        <f t="shared" si="17"/>
        <v>73.165353429431676</v>
      </c>
      <c r="M63" s="144">
        <f>SUM(M58:M62)</f>
        <v>549.81355186301698</v>
      </c>
      <c r="N63" s="146">
        <f>SUM(N58:N62)</f>
        <v>622.97890529244876</v>
      </c>
    </row>
    <row r="64" spans="2:14">
      <c r="B64" s="246"/>
      <c r="D64" s="410"/>
    </row>
    <row r="65" spans="2:11">
      <c r="B65" s="246" t="s">
        <v>228</v>
      </c>
      <c r="C65" s="332" t="str">
        <f>'RFPR cover'!$C$14</f>
        <v>£m 09/10</v>
      </c>
      <c r="D65" s="240">
        <f>'R9 - RAV'!D46</f>
        <v>499.96425789295705</v>
      </c>
      <c r="E65" s="178">
        <f>'R9 - RAV'!E46</f>
        <v>550.49266191041795</v>
      </c>
      <c r="F65" s="178">
        <f>'R9 - RAV'!F46</f>
        <v>621.91752087191139</v>
      </c>
      <c r="G65" s="178">
        <f>'R9 - RAV'!G46</f>
        <v>710.95389161564037</v>
      </c>
      <c r="H65" s="178">
        <f>'R9 - RAV'!H46</f>
        <v>774.32749956070734</v>
      </c>
      <c r="I65" s="178">
        <f>'R9 - RAV'!I46</f>
        <v>791.04828896840615</v>
      </c>
      <c r="J65" s="178">
        <f>'R9 - RAV'!J46</f>
        <v>797.06502452203631</v>
      </c>
      <c r="K65" s="179">
        <f>'R9 - RAV'!K46</f>
        <v>818.96705368672679</v>
      </c>
    </row>
    <row r="66" spans="2:11">
      <c r="B66" s="246" t="s">
        <v>104</v>
      </c>
      <c r="C66" s="332" t="str">
        <f>'RFPR cover'!$C$14</f>
        <v>£m 09/10</v>
      </c>
      <c r="D66" s="245">
        <f>'R8 - Net Debt'!D62</f>
        <v>585.36550594108894</v>
      </c>
      <c r="E66" s="182">
        <f>'R8 - Net Debt'!E62</f>
        <v>494.69747292945527</v>
      </c>
      <c r="F66" s="182">
        <f>'R8 - Net Debt'!F62</f>
        <v>478.41236039684463</v>
      </c>
      <c r="G66" s="182">
        <f>'R8 - Net Debt'!G62</f>
        <v>639.48198596532984</v>
      </c>
      <c r="H66" s="182">
        <f>'R8 - Net Debt'!H62</f>
        <v>777.88378378168306</v>
      </c>
      <c r="I66" s="182">
        <f>'R8 - Net Debt'!I62</f>
        <v>780.66807758667221</v>
      </c>
      <c r="J66" s="182">
        <f>'R8 - Net Debt'!J62</f>
        <v>778.67697798466361</v>
      </c>
      <c r="K66" s="183">
        <f>'R8 - Net Debt'!K62</f>
        <v>827.86841408576333</v>
      </c>
    </row>
    <row r="68" spans="2:11">
      <c r="C68"/>
    </row>
    <row r="69" spans="2:11">
      <c r="C69"/>
    </row>
    <row r="70" spans="2:11">
      <c r="C70"/>
    </row>
    <row r="71" spans="2:11">
      <c r="C71"/>
    </row>
    <row r="72" spans="2:11">
      <c r="C72"/>
    </row>
    <row r="73" spans="2:11">
      <c r="C73"/>
    </row>
    <row r="74" spans="2:11">
      <c r="C74"/>
    </row>
  </sheetData>
  <conditionalFormatting sqref="D5:K6">
    <cfRule type="expression" dxfId="61"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U7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64.375" style="212" customWidth="1"/>
    <col min="3" max="3" width="13.375" style="135" customWidth="1"/>
    <col min="4" max="11" width="11.125" customWidth="1"/>
    <col min="12" max="12" width="5" style="40" customWidth="1"/>
  </cols>
  <sheetData>
    <row r="1" spans="1:21" s="29" customFormat="1" ht="20.25">
      <c r="A1" s="913" t="s">
        <v>116</v>
      </c>
      <c r="B1" s="914"/>
      <c r="C1" s="273"/>
      <c r="D1" s="272"/>
      <c r="E1" s="272"/>
      <c r="F1" s="272"/>
      <c r="G1" s="272"/>
      <c r="H1" s="272"/>
      <c r="I1" s="272"/>
      <c r="J1" s="272"/>
      <c r="K1" s="272"/>
      <c r="L1" s="274"/>
      <c r="M1"/>
      <c r="N1"/>
      <c r="O1"/>
      <c r="P1"/>
      <c r="Q1"/>
      <c r="R1"/>
      <c r="S1"/>
      <c r="T1"/>
      <c r="U1"/>
    </row>
    <row r="2" spans="1:21" s="29" customFormat="1" ht="20.25">
      <c r="A2" s="902" t="str">
        <f>'RFPR cover'!C5</f>
        <v>SPT</v>
      </c>
      <c r="B2" s="915"/>
      <c r="C2" s="133"/>
      <c r="D2" s="27"/>
      <c r="E2" s="27"/>
      <c r="F2" s="27"/>
      <c r="G2" s="27"/>
      <c r="H2" s="27"/>
      <c r="I2" s="25"/>
      <c r="J2" s="25"/>
      <c r="K2" s="25"/>
      <c r="L2" s="122"/>
      <c r="M2"/>
      <c r="N2"/>
      <c r="O2"/>
      <c r="P2"/>
      <c r="Q2"/>
      <c r="R2"/>
      <c r="S2"/>
      <c r="T2"/>
      <c r="U2"/>
    </row>
    <row r="3" spans="1:21" s="29" customFormat="1" ht="20.25">
      <c r="A3" s="905">
        <f>'RFPR cover'!C7</f>
        <v>2020</v>
      </c>
      <c r="B3" s="916"/>
      <c r="C3" s="275"/>
      <c r="D3" s="259"/>
      <c r="E3" s="259"/>
      <c r="F3" s="259"/>
      <c r="G3" s="259"/>
      <c r="H3" s="259"/>
      <c r="I3" s="254"/>
      <c r="J3" s="254"/>
      <c r="K3" s="254"/>
      <c r="L3" s="260"/>
      <c r="M3"/>
      <c r="N3"/>
      <c r="O3"/>
      <c r="P3"/>
      <c r="Q3"/>
      <c r="R3"/>
      <c r="S3"/>
      <c r="T3"/>
      <c r="U3"/>
    </row>
    <row r="4" spans="1:21" s="33" customFormat="1" ht="12.75" customHeight="1">
      <c r="B4" s="224"/>
      <c r="C4" s="137"/>
      <c r="L4" s="56"/>
      <c r="M4"/>
      <c r="N4"/>
      <c r="O4"/>
      <c r="P4"/>
      <c r="Q4"/>
      <c r="R4"/>
      <c r="S4"/>
      <c r="T4"/>
      <c r="U4"/>
    </row>
    <row r="5" spans="1:21" s="2" customFormat="1">
      <c r="B5" s="128"/>
      <c r="C5" s="135"/>
      <c r="D5" s="379" t="str">
        <f>IF(D6&lt;='RFPR cover'!$C$7,"Actuals","Forecast")</f>
        <v>Actuals</v>
      </c>
      <c r="E5" s="380" t="str">
        <f>IF(E6&lt;='RFPR cover'!$C$7,"Actuals","Forecast")</f>
        <v>Actuals</v>
      </c>
      <c r="F5" s="380" t="str">
        <f>IF(F6&lt;='RFPR cover'!$C$7,"Actuals","Forecast")</f>
        <v>Actuals</v>
      </c>
      <c r="G5" s="380" t="str">
        <f>IF(G6&lt;='RFPR cover'!$C$7,"Actuals","Forecast")</f>
        <v>Actuals</v>
      </c>
      <c r="H5" s="380" t="str">
        <f>IF(H6&lt;='RFPR cover'!$C$7,"Actuals","Forecast")</f>
        <v>Actuals</v>
      </c>
      <c r="I5" s="380" t="str">
        <f>IF(I6&lt;='RFPR cover'!$C$7,"Actuals","Forecast")</f>
        <v>Actuals</v>
      </c>
      <c r="J5" s="380" t="str">
        <f>IF(J6&lt;='RFPR cover'!$C$7,"Actuals","Forecast")</f>
        <v>Actuals</v>
      </c>
      <c r="K5" s="381" t="str">
        <f>IF(K6&lt;='RFPR cover'!$C$7,"Actuals","Forecast")</f>
        <v>Forecast</v>
      </c>
      <c r="L5" s="52"/>
      <c r="M5"/>
      <c r="N5"/>
      <c r="O5"/>
      <c r="P5"/>
      <c r="Q5"/>
      <c r="R5"/>
      <c r="S5"/>
      <c r="T5"/>
      <c r="U5"/>
    </row>
    <row r="6" spans="1:21" s="2" customFormat="1">
      <c r="B6" s="128"/>
      <c r="C6" s="135"/>
      <c r="D6" s="89">
        <f>'RFPR cover'!$C$13</f>
        <v>2014</v>
      </c>
      <c r="E6" s="90">
        <f>D6+1</f>
        <v>2015</v>
      </c>
      <c r="F6" s="90">
        <f t="shared" ref="F6:K6" si="0">E6+1</f>
        <v>2016</v>
      </c>
      <c r="G6" s="90">
        <f t="shared" si="0"/>
        <v>2017</v>
      </c>
      <c r="H6" s="90">
        <f t="shared" si="0"/>
        <v>2018</v>
      </c>
      <c r="I6" s="90">
        <f t="shared" si="0"/>
        <v>2019</v>
      </c>
      <c r="J6" s="90">
        <f t="shared" si="0"/>
        <v>2020</v>
      </c>
      <c r="K6" s="90">
        <f t="shared" si="0"/>
        <v>2021</v>
      </c>
      <c r="L6" s="52"/>
      <c r="M6"/>
      <c r="N6"/>
      <c r="O6"/>
      <c r="P6"/>
      <c r="Q6"/>
      <c r="R6"/>
      <c r="S6"/>
      <c r="T6"/>
      <c r="U6"/>
    </row>
    <row r="7" spans="1:21" s="2" customFormat="1">
      <c r="B7" s="758"/>
      <c r="C7" s="151"/>
      <c r="D7" s="48"/>
      <c r="E7" s="48"/>
      <c r="F7" s="48"/>
      <c r="G7" s="48"/>
      <c r="H7" s="48"/>
      <c r="I7" s="48"/>
      <c r="J7" s="48"/>
      <c r="K7" s="48"/>
      <c r="L7" s="56"/>
      <c r="M7"/>
      <c r="N7"/>
      <c r="O7"/>
      <c r="P7"/>
      <c r="Q7"/>
      <c r="R7"/>
      <c r="S7"/>
      <c r="T7"/>
      <c r="U7"/>
    </row>
    <row r="8" spans="1:21" s="2" customFormat="1">
      <c r="B8" s="759" t="s">
        <v>151</v>
      </c>
      <c r="C8" s="149"/>
      <c r="D8" s="79"/>
      <c r="E8" s="79"/>
      <c r="F8" s="79"/>
      <c r="G8" s="79"/>
      <c r="H8" s="79"/>
      <c r="I8" s="79"/>
      <c r="J8" s="79"/>
      <c r="K8" s="79"/>
      <c r="L8" s="270"/>
      <c r="M8"/>
      <c r="N8"/>
      <c r="O8"/>
      <c r="P8"/>
      <c r="Q8"/>
      <c r="R8"/>
      <c r="S8"/>
      <c r="T8"/>
      <c r="U8"/>
    </row>
    <row r="9" spans="1:21" s="33" customFormat="1">
      <c r="A9" s="2"/>
      <c r="B9" s="760"/>
      <c r="C9" s="137"/>
      <c r="L9" s="56"/>
      <c r="M9"/>
      <c r="N9"/>
      <c r="O9"/>
      <c r="P9"/>
      <c r="Q9"/>
      <c r="R9"/>
      <c r="S9"/>
      <c r="T9"/>
      <c r="U9"/>
    </row>
    <row r="10" spans="1:21" s="2" customFormat="1">
      <c r="B10" s="761" t="s">
        <v>369</v>
      </c>
      <c r="C10" s="150" t="str">
        <f>'RFPR cover'!$C$14</f>
        <v>£m 09/10</v>
      </c>
      <c r="D10" s="584">
        <v>225.12200000000001</v>
      </c>
      <c r="E10" s="585">
        <v>236.95</v>
      </c>
      <c r="F10" s="585">
        <v>258.63299999999998</v>
      </c>
      <c r="G10" s="585">
        <v>244.655</v>
      </c>
      <c r="H10" s="585">
        <v>249.43899999999999</v>
      </c>
      <c r="I10" s="585">
        <v>253.065</v>
      </c>
      <c r="J10" s="585">
        <v>256.44499999999999</v>
      </c>
      <c r="K10" s="585"/>
      <c r="L10" s="56"/>
      <c r="M10"/>
      <c r="N10"/>
      <c r="O10"/>
      <c r="P10"/>
      <c r="Q10"/>
      <c r="R10"/>
      <c r="S10"/>
      <c r="T10"/>
      <c r="U10"/>
    </row>
    <row r="11" spans="1:21" s="2" customFormat="1">
      <c r="B11" s="761" t="s">
        <v>370</v>
      </c>
      <c r="C11" s="150" t="str">
        <f>'RFPR cover'!$C$14</f>
        <v>£m 09/10</v>
      </c>
      <c r="D11" s="586">
        <v>0</v>
      </c>
      <c r="E11" s="587">
        <v>6.2</v>
      </c>
      <c r="F11" s="587">
        <v>-20.3</v>
      </c>
      <c r="G11" s="587">
        <v>-21.8</v>
      </c>
      <c r="H11" s="587">
        <v>-13.5</v>
      </c>
      <c r="I11" s="587">
        <v>-3.7</v>
      </c>
      <c r="J11" s="587">
        <v>-1.8</v>
      </c>
      <c r="K11" s="587"/>
      <c r="L11" s="56"/>
      <c r="M11"/>
      <c r="N11"/>
      <c r="O11"/>
      <c r="P11"/>
      <c r="Q11"/>
      <c r="R11"/>
      <c r="S11"/>
      <c r="T11"/>
      <c r="U11"/>
    </row>
    <row r="12" spans="1:21" s="2" customFormat="1">
      <c r="B12" s="761" t="s">
        <v>144</v>
      </c>
      <c r="C12" s="150" t="str">
        <f>'RFPR cover'!$C$14</f>
        <v>£m 09/10</v>
      </c>
      <c r="D12" s="586">
        <v>0</v>
      </c>
      <c r="E12" s="587">
        <v>-6.7868323235976205E-2</v>
      </c>
      <c r="F12" s="587">
        <v>0.92167123080132074</v>
      </c>
      <c r="G12" s="587">
        <v>-3.7205052423316625</v>
      </c>
      <c r="H12" s="587">
        <v>-5.6825725058661929</v>
      </c>
      <c r="I12" s="587">
        <v>-1.0574074164889942</v>
      </c>
      <c r="J12" s="587">
        <v>0.65370088330359855</v>
      </c>
      <c r="K12" s="587"/>
      <c r="L12" s="56"/>
      <c r="M12"/>
      <c r="N12"/>
      <c r="O12"/>
      <c r="P12"/>
      <c r="Q12"/>
      <c r="R12"/>
      <c r="S12"/>
      <c r="T12"/>
      <c r="U12"/>
    </row>
    <row r="13" spans="1:21" s="2" customFormat="1">
      <c r="B13" s="761" t="s">
        <v>358</v>
      </c>
      <c r="C13" s="151" t="s">
        <v>124</v>
      </c>
      <c r="D13" s="811">
        <v>1.163</v>
      </c>
      <c r="E13" s="812">
        <v>1.2050000000000001</v>
      </c>
      <c r="F13" s="812">
        <v>1.2270000000000001</v>
      </c>
      <c r="G13" s="812">
        <v>1.2330000000000001</v>
      </c>
      <c r="H13" s="812">
        <v>1.2709999999999999</v>
      </c>
      <c r="I13" s="812">
        <v>1.3140000000000001</v>
      </c>
      <c r="J13" s="812">
        <v>1.3580000000000001</v>
      </c>
      <c r="K13" s="812"/>
      <c r="L13" s="56"/>
      <c r="M13"/>
      <c r="N13"/>
      <c r="O13"/>
      <c r="P13"/>
      <c r="Q13"/>
      <c r="R13"/>
      <c r="S13"/>
      <c r="T13"/>
      <c r="U13"/>
    </row>
    <row r="14" spans="1:21" s="2" customFormat="1">
      <c r="B14" s="762" t="s">
        <v>192</v>
      </c>
      <c r="C14" s="265" t="s">
        <v>125</v>
      </c>
      <c r="D14" s="619">
        <f>SUM(D10:D12)*D13</f>
        <v>261.81688600000001</v>
      </c>
      <c r="E14" s="620">
        <f t="shared" ref="E14:K14" si="1">SUM(E10:E12)*E13</f>
        <v>292.91396867050065</v>
      </c>
      <c r="F14" s="620">
        <f t="shared" si="1"/>
        <v>293.56548160019321</v>
      </c>
      <c r="G14" s="620">
        <f t="shared" si="1"/>
        <v>270.19283203620506</v>
      </c>
      <c r="H14" s="620">
        <f t="shared" si="1"/>
        <v>292.65591934504403</v>
      </c>
      <c r="I14" s="620">
        <f t="shared" si="1"/>
        <v>326.27617665473349</v>
      </c>
      <c r="J14" s="620">
        <f t="shared" si="1"/>
        <v>346.69563579952631</v>
      </c>
      <c r="K14" s="621">
        <f t="shared" si="1"/>
        <v>0</v>
      </c>
      <c r="L14" s="56"/>
      <c r="M14"/>
      <c r="N14"/>
      <c r="O14"/>
      <c r="P14"/>
      <c r="Q14"/>
      <c r="R14"/>
      <c r="S14"/>
      <c r="T14"/>
      <c r="U14"/>
    </row>
    <row r="15" spans="1:21" s="2" customFormat="1">
      <c r="B15" s="212" t="s">
        <v>128</v>
      </c>
      <c r="C15" s="151" t="s">
        <v>125</v>
      </c>
      <c r="D15" s="588">
        <f>'R5 - Output Incentives'!D102</f>
        <v>0.50197499999999995</v>
      </c>
      <c r="E15" s="589">
        <f>'R5 - Output Incentives'!E102</f>
        <v>0</v>
      </c>
      <c r="F15" s="590">
        <f>'R5 - Output Incentives'!F102</f>
        <v>2.7614475372308771</v>
      </c>
      <c r="G15" s="590">
        <f>'R5 - Output Incentives'!G102</f>
        <v>3.6134905686450391</v>
      </c>
      <c r="H15" s="590">
        <f>'R5 - Output Incentives'!H102</f>
        <v>7.9339910650030827</v>
      </c>
      <c r="I15" s="590">
        <f>'R5 - Output Incentives'!I102</f>
        <v>9.3195401052582092</v>
      </c>
      <c r="J15" s="590">
        <f>'R5 - Output Incentives'!J102</f>
        <v>6.2447858088857036</v>
      </c>
      <c r="K15" s="591">
        <f>'R5 - Output Incentives'!K102</f>
        <v>6.0956556897740777</v>
      </c>
      <c r="L15" s="56"/>
      <c r="M15"/>
      <c r="N15"/>
      <c r="O15"/>
      <c r="P15"/>
      <c r="Q15"/>
      <c r="R15"/>
      <c r="S15"/>
      <c r="T15"/>
      <c r="U15"/>
    </row>
    <row r="16" spans="1:21" s="2" customFormat="1">
      <c r="B16" s="763" t="s">
        <v>371</v>
      </c>
      <c r="C16" s="151" t="s">
        <v>125</v>
      </c>
      <c r="D16" s="586">
        <v>0</v>
      </c>
      <c r="E16" s="587">
        <v>0</v>
      </c>
      <c r="F16" s="587">
        <v>-20.257989862187202</v>
      </c>
      <c r="G16" s="587">
        <v>-4.4994609182250009</v>
      </c>
      <c r="H16" s="587">
        <v>-4.7015123299745119</v>
      </c>
      <c r="I16" s="587">
        <v>-3.6757294694233145</v>
      </c>
      <c r="J16" s="587">
        <v>4.3316200355723016</v>
      </c>
      <c r="K16" s="587"/>
      <c r="L16" s="56"/>
      <c r="M16"/>
      <c r="N16"/>
      <c r="O16"/>
      <c r="P16"/>
      <c r="Q16"/>
      <c r="R16"/>
      <c r="S16"/>
      <c r="T16"/>
      <c r="U16"/>
    </row>
    <row r="17" spans="2:21" s="2" customFormat="1">
      <c r="B17" s="763" t="s">
        <v>131</v>
      </c>
      <c r="C17" s="151" t="s">
        <v>125</v>
      </c>
      <c r="D17" s="588">
        <f>'R6 - Innovation'!D12</f>
        <v>0.58726169999999989</v>
      </c>
      <c r="E17" s="589">
        <f>'R6 - Innovation'!E12</f>
        <v>0.62966525929148232</v>
      </c>
      <c r="F17" s="590">
        <f>'R6 - Innovation'!F12</f>
        <v>0.80005872758755747</v>
      </c>
      <c r="G17" s="590">
        <f>'R6 - Innovation'!G12</f>
        <v>1.0738619713503614</v>
      </c>
      <c r="H17" s="590">
        <f>'R6 - Innovation'!H12</f>
        <v>1.179193812749902</v>
      </c>
      <c r="I17" s="590">
        <f>'R6 - Innovation'!I12</f>
        <v>1.1661897937164469</v>
      </c>
      <c r="J17" s="590">
        <f>'R6 - Innovation'!J12</f>
        <v>1.5167169225078259</v>
      </c>
      <c r="K17" s="591">
        <f>'R6 - Innovation'!K12</f>
        <v>1.137996</v>
      </c>
      <c r="L17" s="56"/>
      <c r="M17"/>
      <c r="N17"/>
      <c r="O17"/>
      <c r="P17"/>
      <c r="Q17"/>
      <c r="R17"/>
      <c r="S17"/>
      <c r="T17"/>
      <c r="U17"/>
    </row>
    <row r="18" spans="2:21" s="2" customFormat="1">
      <c r="B18" s="763" t="s">
        <v>130</v>
      </c>
      <c r="C18" s="151" t="s">
        <v>125</v>
      </c>
      <c r="D18" s="588">
        <f>'R6 - Innovation'!D17</f>
        <v>0</v>
      </c>
      <c r="E18" s="589">
        <f>'R6 - Innovation'!E17</f>
        <v>0</v>
      </c>
      <c r="F18" s="590">
        <f>'R6 - Innovation'!F17</f>
        <v>0</v>
      </c>
      <c r="G18" s="590">
        <f>'R6 - Innovation'!G17</f>
        <v>0</v>
      </c>
      <c r="H18" s="590">
        <f>'R6 - Innovation'!H17</f>
        <v>0</v>
      </c>
      <c r="I18" s="590">
        <f>'R6 - Innovation'!I17</f>
        <v>0</v>
      </c>
      <c r="J18" s="590">
        <f>'R6 - Innovation'!J17</f>
        <v>0</v>
      </c>
      <c r="K18" s="591">
        <f>'R6 - Innovation'!K17</f>
        <v>0</v>
      </c>
      <c r="L18" s="56"/>
      <c r="M18"/>
      <c r="N18"/>
      <c r="O18"/>
      <c r="P18"/>
      <c r="Q18"/>
      <c r="R18"/>
      <c r="S18"/>
      <c r="T18"/>
      <c r="U18"/>
    </row>
    <row r="19" spans="2:21" s="2" customFormat="1">
      <c r="B19" s="533" t="s">
        <v>563</v>
      </c>
      <c r="C19" s="151" t="s">
        <v>125</v>
      </c>
      <c r="D19" s="586">
        <v>22.935234575999999</v>
      </c>
      <c r="E19" s="587">
        <v>32.159406320000002</v>
      </c>
      <c r="F19" s="587">
        <v>31.240862952000001</v>
      </c>
      <c r="G19" s="587">
        <v>25.010635608000001</v>
      </c>
      <c r="H19" s="587">
        <v>33.501617912</v>
      </c>
      <c r="I19" s="587">
        <v>33.512823648000001</v>
      </c>
      <c r="J19" s="587">
        <v>33.475232336000005</v>
      </c>
      <c r="K19" s="587"/>
      <c r="L19" s="56"/>
      <c r="M19"/>
      <c r="N19"/>
      <c r="O19"/>
      <c r="P19"/>
      <c r="Q19"/>
      <c r="R19"/>
      <c r="S19"/>
      <c r="T19"/>
      <c r="U19"/>
    </row>
    <row r="20" spans="2:21" s="2" customFormat="1">
      <c r="B20" s="533" t="s">
        <v>564</v>
      </c>
      <c r="C20" s="151" t="s">
        <v>125</v>
      </c>
      <c r="D20" s="586">
        <v>0</v>
      </c>
      <c r="E20" s="587">
        <v>0</v>
      </c>
      <c r="F20" s="587">
        <v>0</v>
      </c>
      <c r="G20" s="587">
        <v>0</v>
      </c>
      <c r="H20" s="587">
        <v>0</v>
      </c>
      <c r="I20" s="587">
        <v>0</v>
      </c>
      <c r="J20" s="587">
        <v>0</v>
      </c>
      <c r="K20" s="587"/>
      <c r="L20" s="56"/>
      <c r="M20"/>
      <c r="N20"/>
      <c r="O20"/>
      <c r="P20"/>
      <c r="Q20"/>
      <c r="R20"/>
      <c r="S20"/>
      <c r="T20"/>
      <c r="U20"/>
    </row>
    <row r="21" spans="2:21" s="2" customFormat="1">
      <c r="B21" s="533" t="s">
        <v>564</v>
      </c>
      <c r="C21" s="151" t="s">
        <v>125</v>
      </c>
      <c r="D21" s="586">
        <v>0</v>
      </c>
      <c r="E21" s="587">
        <v>0</v>
      </c>
      <c r="F21" s="587">
        <v>0</v>
      </c>
      <c r="G21" s="587">
        <v>0</v>
      </c>
      <c r="H21" s="587">
        <v>0</v>
      </c>
      <c r="I21" s="587">
        <v>0</v>
      </c>
      <c r="J21" s="587">
        <v>0</v>
      </c>
      <c r="K21" s="587"/>
      <c r="L21" s="56"/>
      <c r="M21"/>
      <c r="N21"/>
      <c r="O21"/>
      <c r="P21"/>
      <c r="Q21"/>
      <c r="R21"/>
      <c r="S21"/>
      <c r="T21"/>
      <c r="U21"/>
    </row>
    <row r="22" spans="2:21" s="2" customFormat="1">
      <c r="B22" s="533" t="s">
        <v>564</v>
      </c>
      <c r="C22" s="151" t="s">
        <v>125</v>
      </c>
      <c r="D22" s="586">
        <v>0</v>
      </c>
      <c r="E22" s="587">
        <v>0</v>
      </c>
      <c r="F22" s="587">
        <v>0</v>
      </c>
      <c r="G22" s="587">
        <v>0</v>
      </c>
      <c r="H22" s="587">
        <v>0</v>
      </c>
      <c r="I22" s="587">
        <v>0</v>
      </c>
      <c r="J22" s="587">
        <v>0</v>
      </c>
      <c r="K22" s="587"/>
      <c r="L22" s="56"/>
      <c r="M22"/>
      <c r="N22"/>
      <c r="O22"/>
      <c r="P22"/>
      <c r="Q22"/>
      <c r="R22"/>
      <c r="S22"/>
      <c r="T22"/>
      <c r="U22"/>
    </row>
    <row r="23" spans="2:21" s="2" customFormat="1">
      <c r="B23" s="533" t="s">
        <v>564</v>
      </c>
      <c r="C23" s="151" t="s">
        <v>125</v>
      </c>
      <c r="D23" s="586">
        <v>0</v>
      </c>
      <c r="E23" s="587">
        <v>0</v>
      </c>
      <c r="F23" s="587">
        <v>0</v>
      </c>
      <c r="G23" s="587">
        <v>0</v>
      </c>
      <c r="H23" s="587">
        <v>0</v>
      </c>
      <c r="I23" s="587">
        <v>0</v>
      </c>
      <c r="J23" s="587">
        <v>0</v>
      </c>
      <c r="K23" s="587"/>
      <c r="L23" s="56"/>
      <c r="M23"/>
      <c r="N23"/>
      <c r="O23"/>
      <c r="P23"/>
      <c r="Q23"/>
      <c r="R23"/>
      <c r="S23"/>
      <c r="T23"/>
      <c r="U23"/>
    </row>
    <row r="24" spans="2:21" s="2" customFormat="1">
      <c r="B24" s="533" t="s">
        <v>564</v>
      </c>
      <c r="C24" s="151" t="s">
        <v>125</v>
      </c>
      <c r="D24" s="586">
        <v>0</v>
      </c>
      <c r="E24" s="587">
        <v>0</v>
      </c>
      <c r="F24" s="587">
        <v>0</v>
      </c>
      <c r="G24" s="587">
        <v>0</v>
      </c>
      <c r="H24" s="587">
        <v>0</v>
      </c>
      <c r="I24" s="587">
        <v>0</v>
      </c>
      <c r="J24" s="587">
        <v>0</v>
      </c>
      <c r="K24" s="587"/>
      <c r="L24" s="56"/>
      <c r="M24"/>
      <c r="N24"/>
      <c r="O24"/>
      <c r="P24"/>
      <c r="Q24"/>
      <c r="R24"/>
      <c r="S24"/>
      <c r="T24"/>
      <c r="U24"/>
    </row>
    <row r="25" spans="2:21" s="2" customFormat="1">
      <c r="B25" s="763" t="s">
        <v>132</v>
      </c>
      <c r="C25" s="151" t="s">
        <v>125</v>
      </c>
      <c r="D25" s="586">
        <v>11.181499999999987</v>
      </c>
      <c r="E25" s="587">
        <v>0</v>
      </c>
      <c r="F25" s="587">
        <v>4.9065686994023965</v>
      </c>
      <c r="G25" s="587">
        <v>-2.8714004124378367</v>
      </c>
      <c r="H25" s="587">
        <v>3.3637883234461654</v>
      </c>
      <c r="I25" s="587">
        <v>8.5652495571219962</v>
      </c>
      <c r="J25" s="587">
        <v>6.8667144815500354</v>
      </c>
      <c r="K25" s="587"/>
      <c r="L25" s="56"/>
      <c r="M25"/>
      <c r="N25"/>
      <c r="O25"/>
      <c r="P25"/>
      <c r="Q25"/>
      <c r="R25"/>
      <c r="S25"/>
      <c r="T25"/>
      <c r="U25"/>
    </row>
    <row r="26" spans="2:21" s="2" customFormat="1">
      <c r="B26" s="758" t="s">
        <v>145</v>
      </c>
      <c r="C26" s="151" t="s">
        <v>125</v>
      </c>
      <c r="D26" s="592">
        <f>SUM(D14:D24,-D25)</f>
        <v>274.65985727600008</v>
      </c>
      <c r="E26" s="593">
        <f t="shared" ref="E26:K26" si="2">SUM(E14:E24,-E25)</f>
        <v>325.70304024979214</v>
      </c>
      <c r="F26" s="593">
        <f t="shared" si="2"/>
        <v>303.20329225542201</v>
      </c>
      <c r="G26" s="593">
        <f t="shared" si="2"/>
        <v>298.26275967841326</v>
      </c>
      <c r="H26" s="593">
        <f t="shared" si="2"/>
        <v>327.20542148137639</v>
      </c>
      <c r="I26" s="593">
        <f t="shared" si="2"/>
        <v>358.03375117516288</v>
      </c>
      <c r="J26" s="593">
        <f t="shared" si="2"/>
        <v>385.39727642094215</v>
      </c>
      <c r="K26" s="594">
        <f t="shared" si="2"/>
        <v>7.2336516897740779</v>
      </c>
      <c r="L26" s="56"/>
      <c r="M26"/>
      <c r="N26"/>
      <c r="O26"/>
      <c r="P26"/>
      <c r="Q26"/>
      <c r="R26"/>
      <c r="S26"/>
      <c r="T26"/>
      <c r="U26"/>
    </row>
    <row r="27" spans="2:21" s="2" customFormat="1">
      <c r="B27" s="224"/>
      <c r="C27" s="137"/>
      <c r="D27" s="53"/>
      <c r="E27" s="53"/>
      <c r="F27" s="53"/>
      <c r="G27" s="59"/>
      <c r="H27" s="59"/>
      <c r="I27" s="59"/>
      <c r="J27" s="59"/>
      <c r="K27" s="59"/>
      <c r="L27" s="56"/>
      <c r="M27"/>
      <c r="N27"/>
      <c r="O27"/>
      <c r="P27"/>
      <c r="Q27"/>
      <c r="R27"/>
      <c r="S27"/>
      <c r="T27"/>
      <c r="U27"/>
    </row>
    <row r="28" spans="2:21" s="2" customFormat="1">
      <c r="B28" s="224" t="s">
        <v>147</v>
      </c>
      <c r="C28" s="137"/>
      <c r="D28" s="592">
        <f>IF(ISBLANK(D33),0,D33-D26)</f>
        <v>4.670142723999902</v>
      </c>
      <c r="E28" s="593">
        <f t="shared" ref="E28:K28" si="3">IF(ISBLANK(E33),0,E33-E26)</f>
        <v>-2.7330402497921114</v>
      </c>
      <c r="F28" s="593">
        <f t="shared" si="3"/>
        <v>3.2067077445780114</v>
      </c>
      <c r="G28" s="593">
        <f t="shared" si="3"/>
        <v>8.1772403215867371</v>
      </c>
      <c r="H28" s="593">
        <f t="shared" si="3"/>
        <v>6.5345785186236185</v>
      </c>
      <c r="I28" s="593">
        <f t="shared" si="3"/>
        <v>6.7962488248371073</v>
      </c>
      <c r="J28" s="593">
        <f t="shared" si="3"/>
        <v>6.8027235790578402</v>
      </c>
      <c r="K28" s="594">
        <f t="shared" si="3"/>
        <v>0</v>
      </c>
      <c r="L28" s="56"/>
      <c r="M28"/>
      <c r="N28"/>
      <c r="O28"/>
      <c r="P28"/>
      <c r="Q28"/>
      <c r="R28"/>
      <c r="S28"/>
      <c r="T28"/>
      <c r="U28"/>
    </row>
    <row r="29" spans="2:21" s="2" customFormat="1">
      <c r="B29" s="224"/>
      <c r="C29" s="137"/>
      <c r="D29" s="33"/>
      <c r="E29" s="33"/>
      <c r="F29" s="33"/>
      <c r="G29" s="33"/>
      <c r="H29" s="33"/>
      <c r="I29" s="33"/>
      <c r="J29" s="33"/>
      <c r="K29" s="33"/>
      <c r="L29" s="56"/>
      <c r="M29"/>
      <c r="N29"/>
      <c r="O29"/>
      <c r="P29"/>
      <c r="Q29"/>
      <c r="R29"/>
      <c r="S29"/>
      <c r="T29"/>
      <c r="U29"/>
    </row>
    <row r="30" spans="2:21" s="2" customFormat="1">
      <c r="B30" s="224"/>
      <c r="C30" s="137"/>
      <c r="D30" s="33"/>
      <c r="E30" s="33"/>
      <c r="F30" s="33"/>
      <c r="G30" s="33"/>
      <c r="H30" s="33"/>
      <c r="I30" s="33"/>
      <c r="J30" s="33"/>
      <c r="K30" s="33"/>
      <c r="L30" s="56"/>
      <c r="M30"/>
      <c r="N30"/>
      <c r="O30"/>
      <c r="P30"/>
      <c r="Q30"/>
      <c r="R30"/>
      <c r="S30"/>
      <c r="T30"/>
      <c r="U30"/>
    </row>
    <row r="31" spans="2:21" s="2" customFormat="1">
      <c r="B31" s="759" t="s">
        <v>189</v>
      </c>
      <c r="C31" s="149"/>
      <c r="D31" s="79"/>
      <c r="E31" s="79"/>
      <c r="F31" s="79"/>
      <c r="G31" s="79"/>
      <c r="H31" s="79"/>
      <c r="I31" s="79"/>
      <c r="J31" s="79"/>
      <c r="K31" s="79"/>
      <c r="L31" s="271"/>
      <c r="M31"/>
      <c r="N31"/>
      <c r="O31"/>
      <c r="P31"/>
      <c r="Q31"/>
      <c r="R31"/>
      <c r="S31"/>
      <c r="T31"/>
      <c r="U31"/>
    </row>
    <row r="32" spans="2:21" s="2" customFormat="1">
      <c r="B32" s="224"/>
      <c r="C32" s="137"/>
      <c r="D32" s="33"/>
      <c r="E32" s="33"/>
      <c r="F32" s="33"/>
      <c r="G32" s="33"/>
      <c r="H32" s="33"/>
      <c r="I32" s="33"/>
      <c r="J32" s="33"/>
      <c r="K32" s="33"/>
      <c r="L32" s="56"/>
      <c r="M32"/>
      <c r="N32"/>
      <c r="O32"/>
      <c r="P32"/>
      <c r="Q32"/>
      <c r="R32"/>
      <c r="S32"/>
      <c r="T32"/>
      <c r="U32"/>
    </row>
    <row r="33" spans="2:21" s="2" customFormat="1">
      <c r="B33" s="760" t="s">
        <v>146</v>
      </c>
      <c r="C33" s="137"/>
      <c r="D33" s="628">
        <v>279.33</v>
      </c>
      <c r="E33" s="629">
        <v>322.97000000000003</v>
      </c>
      <c r="F33" s="629">
        <v>306.41000000000003</v>
      </c>
      <c r="G33" s="629">
        <v>306.44</v>
      </c>
      <c r="H33" s="629">
        <v>333.74</v>
      </c>
      <c r="I33" s="629">
        <v>364.83</v>
      </c>
      <c r="J33" s="629">
        <v>392.2</v>
      </c>
      <c r="K33" s="630"/>
      <c r="L33" s="56"/>
      <c r="M33"/>
      <c r="N33"/>
      <c r="O33"/>
      <c r="P33"/>
      <c r="Q33"/>
      <c r="R33"/>
      <c r="S33"/>
      <c r="T33"/>
      <c r="U33"/>
    </row>
    <row r="34" spans="2:21" s="2" customFormat="1">
      <c r="B34" s="128"/>
      <c r="C34" s="135"/>
      <c r="J34" s="937"/>
      <c r="L34" s="56"/>
      <c r="M34"/>
      <c r="N34"/>
      <c r="O34"/>
      <c r="P34"/>
      <c r="Q34"/>
      <c r="R34"/>
      <c r="S34"/>
      <c r="T34"/>
      <c r="U34"/>
    </row>
    <row r="35" spans="2:21" s="2" customFormat="1">
      <c r="B35" s="383" t="s">
        <v>133</v>
      </c>
      <c r="C35" s="135"/>
      <c r="J35" s="937"/>
      <c r="L35" s="56"/>
      <c r="M35"/>
      <c r="N35"/>
      <c r="O35"/>
      <c r="P35"/>
      <c r="Q35"/>
      <c r="R35"/>
      <c r="S35"/>
      <c r="T35"/>
      <c r="U35"/>
    </row>
    <row r="36" spans="2:21" s="2" customFormat="1">
      <c r="B36" s="888" t="s">
        <v>134</v>
      </c>
      <c r="C36" s="151" t="s">
        <v>125</v>
      </c>
      <c r="D36" s="584">
        <v>0</v>
      </c>
      <c r="E36" s="585">
        <v>0</v>
      </c>
      <c r="F36" s="585">
        <v>0</v>
      </c>
      <c r="G36" s="585">
        <v>0</v>
      </c>
      <c r="H36" s="585">
        <v>0</v>
      </c>
      <c r="I36" s="585">
        <v>0</v>
      </c>
      <c r="J36" s="938">
        <v>0</v>
      </c>
      <c r="K36" s="595"/>
      <c r="L36" s="56"/>
      <c r="M36"/>
      <c r="N36"/>
      <c r="O36"/>
      <c r="P36"/>
      <c r="Q36"/>
      <c r="R36"/>
      <c r="S36"/>
      <c r="T36"/>
      <c r="U36"/>
    </row>
    <row r="37" spans="2:21" s="2" customFormat="1">
      <c r="B37" s="888" t="s">
        <v>135</v>
      </c>
      <c r="C37" s="151" t="s">
        <v>125</v>
      </c>
      <c r="D37" s="586">
        <v>0</v>
      </c>
      <c r="E37" s="587">
        <v>0</v>
      </c>
      <c r="F37" s="587">
        <v>0</v>
      </c>
      <c r="G37" s="587">
        <v>0</v>
      </c>
      <c r="H37" s="587">
        <v>0</v>
      </c>
      <c r="I37" s="587">
        <v>0</v>
      </c>
      <c r="J37" s="939">
        <v>0</v>
      </c>
      <c r="K37" s="596"/>
      <c r="L37" s="56"/>
      <c r="M37"/>
      <c r="N37"/>
      <c r="O37"/>
      <c r="P37"/>
      <c r="Q37"/>
      <c r="R37"/>
      <c r="S37"/>
      <c r="T37"/>
      <c r="U37"/>
    </row>
    <row r="38" spans="2:21" s="2" customFormat="1">
      <c r="B38" s="888" t="s">
        <v>136</v>
      </c>
      <c r="C38" s="151" t="s">
        <v>125</v>
      </c>
      <c r="D38" s="586">
        <v>0</v>
      </c>
      <c r="E38" s="587">
        <v>0</v>
      </c>
      <c r="F38" s="587">
        <v>0</v>
      </c>
      <c r="G38" s="587">
        <v>0</v>
      </c>
      <c r="H38" s="587">
        <v>0</v>
      </c>
      <c r="I38" s="587">
        <v>0</v>
      </c>
      <c r="J38" s="939">
        <v>0</v>
      </c>
      <c r="K38" s="596"/>
      <c r="L38" s="56"/>
      <c r="M38"/>
      <c r="N38"/>
      <c r="O38"/>
      <c r="P38"/>
      <c r="Q38"/>
      <c r="R38"/>
      <c r="S38"/>
      <c r="T38"/>
      <c r="U38"/>
    </row>
    <row r="39" spans="2:21" s="2" customFormat="1">
      <c r="B39" s="888" t="s">
        <v>137</v>
      </c>
      <c r="C39" s="151" t="s">
        <v>125</v>
      </c>
      <c r="D39" s="586">
        <v>0</v>
      </c>
      <c r="E39" s="587">
        <v>0</v>
      </c>
      <c r="F39" s="587">
        <v>0</v>
      </c>
      <c r="G39" s="587">
        <v>0</v>
      </c>
      <c r="H39" s="587">
        <v>0</v>
      </c>
      <c r="I39" s="587">
        <v>0</v>
      </c>
      <c r="J39" s="939">
        <v>0</v>
      </c>
      <c r="K39" s="596"/>
      <c r="L39" s="56"/>
      <c r="M39"/>
      <c r="N39"/>
      <c r="O39"/>
      <c r="P39"/>
      <c r="Q39"/>
      <c r="R39"/>
      <c r="S39"/>
      <c r="T39"/>
      <c r="U39"/>
    </row>
    <row r="40" spans="2:21" s="2" customFormat="1">
      <c r="B40" s="888" t="s">
        <v>138</v>
      </c>
      <c r="C40" s="151" t="s">
        <v>125</v>
      </c>
      <c r="D40" s="586">
        <v>0</v>
      </c>
      <c r="E40" s="587">
        <v>0</v>
      </c>
      <c r="F40" s="587">
        <v>0</v>
      </c>
      <c r="G40" s="587">
        <v>0</v>
      </c>
      <c r="H40" s="587">
        <v>0</v>
      </c>
      <c r="I40" s="587">
        <v>0</v>
      </c>
      <c r="J40" s="939">
        <v>0</v>
      </c>
      <c r="K40" s="596"/>
      <c r="L40" s="56"/>
      <c r="M40"/>
      <c r="N40"/>
      <c r="O40"/>
      <c r="P40"/>
      <c r="Q40"/>
      <c r="R40"/>
      <c r="S40"/>
      <c r="T40"/>
      <c r="U40"/>
    </row>
    <row r="41" spans="2:21" s="2" customFormat="1">
      <c r="B41" s="888" t="s">
        <v>139</v>
      </c>
      <c r="C41" s="151" t="s">
        <v>125</v>
      </c>
      <c r="D41" s="586">
        <v>0</v>
      </c>
      <c r="E41" s="587">
        <v>0</v>
      </c>
      <c r="F41" s="587">
        <v>0</v>
      </c>
      <c r="G41" s="587">
        <v>0</v>
      </c>
      <c r="H41" s="587">
        <v>0</v>
      </c>
      <c r="I41" s="587">
        <v>0</v>
      </c>
      <c r="J41" s="939">
        <v>0</v>
      </c>
      <c r="K41" s="596"/>
      <c r="L41" s="56"/>
      <c r="M41"/>
      <c r="N41"/>
      <c r="O41"/>
      <c r="P41"/>
      <c r="Q41"/>
      <c r="R41"/>
      <c r="S41"/>
      <c r="T41"/>
      <c r="U41"/>
    </row>
    <row r="42" spans="2:21" s="2" customFormat="1">
      <c r="B42" s="888" t="s">
        <v>140</v>
      </c>
      <c r="C42" s="151" t="s">
        <v>125</v>
      </c>
      <c r="D42" s="586">
        <v>0</v>
      </c>
      <c r="E42" s="587">
        <v>0</v>
      </c>
      <c r="F42" s="587">
        <v>0</v>
      </c>
      <c r="G42" s="587">
        <v>0</v>
      </c>
      <c r="H42" s="587">
        <v>0</v>
      </c>
      <c r="I42" s="587">
        <v>0</v>
      </c>
      <c r="J42" s="939">
        <v>0</v>
      </c>
      <c r="K42" s="596"/>
      <c r="L42" s="56"/>
      <c r="M42"/>
      <c r="N42"/>
      <c r="O42"/>
      <c r="P42"/>
      <c r="Q42"/>
      <c r="R42"/>
      <c r="S42"/>
      <c r="T42"/>
      <c r="U42"/>
    </row>
    <row r="43" spans="2:21" s="2" customFormat="1">
      <c r="B43" s="889" t="s">
        <v>141</v>
      </c>
      <c r="C43" s="151" t="s">
        <v>125</v>
      </c>
      <c r="D43" s="597">
        <v>0</v>
      </c>
      <c r="E43" s="598">
        <v>0</v>
      </c>
      <c r="F43" s="598">
        <v>0</v>
      </c>
      <c r="G43" s="598">
        <v>0</v>
      </c>
      <c r="H43" s="598">
        <v>0</v>
      </c>
      <c r="I43" s="598">
        <v>0</v>
      </c>
      <c r="J43" s="940">
        <v>0</v>
      </c>
      <c r="K43" s="599"/>
      <c r="L43" s="56"/>
      <c r="M43"/>
      <c r="N43"/>
      <c r="O43"/>
      <c r="P43"/>
      <c r="Q43"/>
      <c r="R43"/>
      <c r="S43"/>
      <c r="T43"/>
      <c r="U43"/>
    </row>
    <row r="44" spans="2:21" s="2" customFormat="1">
      <c r="B44" s="887" t="s">
        <v>565</v>
      </c>
      <c r="C44" s="151" t="s">
        <v>125</v>
      </c>
      <c r="D44" s="597">
        <v>0</v>
      </c>
      <c r="E44" s="598">
        <v>0</v>
      </c>
      <c r="F44" s="598">
        <v>0</v>
      </c>
      <c r="G44" s="598">
        <v>0</v>
      </c>
      <c r="H44" s="598">
        <v>0</v>
      </c>
      <c r="I44" s="598">
        <v>0</v>
      </c>
      <c r="J44" s="940">
        <v>0</v>
      </c>
      <c r="K44" s="599"/>
      <c r="L44" s="56"/>
      <c r="M44"/>
      <c r="N44"/>
      <c r="O44"/>
      <c r="P44"/>
      <c r="Q44"/>
      <c r="R44"/>
      <c r="S44"/>
      <c r="T44"/>
      <c r="U44"/>
    </row>
    <row r="45" spans="2:21" s="2" customFormat="1">
      <c r="B45" s="383" t="s">
        <v>172</v>
      </c>
      <c r="C45" s="151" t="s">
        <v>125</v>
      </c>
      <c r="D45" s="600">
        <f>SUM(D36:D44)</f>
        <v>0</v>
      </c>
      <c r="E45" s="601">
        <f t="shared" ref="E45:K45" si="4">SUM(E36:E44)</f>
        <v>0</v>
      </c>
      <c r="F45" s="601">
        <f t="shared" si="4"/>
        <v>0</v>
      </c>
      <c r="G45" s="601">
        <f t="shared" si="4"/>
        <v>0</v>
      </c>
      <c r="H45" s="601">
        <f t="shared" si="4"/>
        <v>0</v>
      </c>
      <c r="I45" s="601">
        <f t="shared" si="4"/>
        <v>0</v>
      </c>
      <c r="J45" s="941">
        <f t="shared" si="4"/>
        <v>0</v>
      </c>
      <c r="K45" s="602">
        <f t="shared" si="4"/>
        <v>0</v>
      </c>
      <c r="L45" s="56"/>
      <c r="M45"/>
      <c r="N45"/>
      <c r="O45"/>
      <c r="P45"/>
      <c r="Q45"/>
      <c r="R45"/>
      <c r="S45"/>
      <c r="T45"/>
      <c r="U45"/>
    </row>
    <row r="46" spans="2:21" s="2" customFormat="1">
      <c r="B46" s="128"/>
      <c r="C46" s="135"/>
      <c r="J46" s="937"/>
      <c r="L46" s="56"/>
      <c r="M46"/>
      <c r="N46"/>
      <c r="O46"/>
      <c r="P46"/>
      <c r="Q46"/>
      <c r="R46"/>
      <c r="S46"/>
      <c r="T46"/>
      <c r="U46"/>
    </row>
    <row r="47" spans="2:21" s="2" customFormat="1">
      <c r="B47" s="383" t="s">
        <v>142</v>
      </c>
      <c r="C47" s="135"/>
      <c r="J47" s="937"/>
      <c r="L47" s="52"/>
      <c r="M47"/>
      <c r="N47"/>
      <c r="O47"/>
      <c r="P47"/>
      <c r="Q47"/>
      <c r="R47"/>
      <c r="S47"/>
      <c r="T47"/>
      <c r="U47"/>
    </row>
    <row r="48" spans="2:21" s="2" customFormat="1">
      <c r="B48" s="533" t="s">
        <v>566</v>
      </c>
      <c r="C48" s="151" t="s">
        <v>125</v>
      </c>
      <c r="D48" s="603">
        <v>7.01</v>
      </c>
      <c r="E48" s="604">
        <v>7.73</v>
      </c>
      <c r="F48" s="604">
        <v>8.0419999999999998</v>
      </c>
      <c r="G48" s="604">
        <v>9.3840000000000003</v>
      </c>
      <c r="H48" s="604">
        <v>11.289</v>
      </c>
      <c r="I48" s="604">
        <v>11.503642108915194</v>
      </c>
      <c r="J48" s="604">
        <v>11.837853710145843</v>
      </c>
      <c r="K48" s="605"/>
      <c r="L48" s="56"/>
      <c r="M48"/>
      <c r="N48"/>
      <c r="O48"/>
      <c r="P48"/>
      <c r="Q48"/>
      <c r="R48"/>
      <c r="S48"/>
      <c r="T48"/>
      <c r="U48"/>
    </row>
    <row r="49" spans="2:21" s="2" customFormat="1">
      <c r="B49" s="533" t="s">
        <v>567</v>
      </c>
      <c r="C49" s="151" t="s">
        <v>125</v>
      </c>
      <c r="D49" s="606">
        <v>0</v>
      </c>
      <c r="E49" s="607">
        <v>0</v>
      </c>
      <c r="F49" s="607">
        <v>0</v>
      </c>
      <c r="G49" s="607">
        <v>0</v>
      </c>
      <c r="H49" s="607">
        <v>0</v>
      </c>
      <c r="I49" s="607">
        <v>3.3999999999999986</v>
      </c>
      <c r="J49" s="607">
        <v>3.4</v>
      </c>
      <c r="K49" s="608"/>
      <c r="L49" s="56"/>
      <c r="M49"/>
      <c r="N49"/>
      <c r="O49"/>
      <c r="P49"/>
      <c r="Q49"/>
      <c r="R49"/>
      <c r="S49"/>
      <c r="T49"/>
      <c r="U49"/>
    </row>
    <row r="50" spans="2:21" s="2" customFormat="1">
      <c r="B50" s="533" t="s">
        <v>564</v>
      </c>
      <c r="C50" s="151" t="s">
        <v>125</v>
      </c>
      <c r="D50" s="606">
        <v>0</v>
      </c>
      <c r="E50" s="607">
        <v>0</v>
      </c>
      <c r="F50" s="607">
        <v>0</v>
      </c>
      <c r="G50" s="607">
        <v>0</v>
      </c>
      <c r="H50" s="607">
        <v>0</v>
      </c>
      <c r="I50" s="607">
        <v>0</v>
      </c>
      <c r="J50" s="607">
        <v>0</v>
      </c>
      <c r="K50" s="608"/>
      <c r="L50" s="56"/>
      <c r="M50"/>
      <c r="N50"/>
      <c r="O50"/>
      <c r="P50"/>
      <c r="Q50"/>
      <c r="R50"/>
      <c r="S50"/>
      <c r="T50"/>
      <c r="U50"/>
    </row>
    <row r="51" spans="2:21" s="2" customFormat="1">
      <c r="B51" s="533" t="s">
        <v>564</v>
      </c>
      <c r="C51" s="151" t="s">
        <v>125</v>
      </c>
      <c r="D51" s="606">
        <v>0</v>
      </c>
      <c r="E51" s="607">
        <v>0</v>
      </c>
      <c r="F51" s="607">
        <v>0</v>
      </c>
      <c r="G51" s="607">
        <v>0</v>
      </c>
      <c r="H51" s="607">
        <v>0</v>
      </c>
      <c r="I51" s="607">
        <v>0</v>
      </c>
      <c r="J51" s="607">
        <v>0</v>
      </c>
      <c r="K51" s="608"/>
      <c r="L51" s="56"/>
      <c r="M51"/>
      <c r="N51"/>
      <c r="O51"/>
      <c r="P51"/>
      <c r="Q51"/>
      <c r="R51"/>
      <c r="S51"/>
      <c r="T51"/>
      <c r="U51"/>
    </row>
    <row r="52" spans="2:21" s="2" customFormat="1">
      <c r="B52" s="533" t="s">
        <v>564</v>
      </c>
      <c r="C52" s="151" t="s">
        <v>125</v>
      </c>
      <c r="D52" s="606">
        <v>0</v>
      </c>
      <c r="E52" s="607">
        <v>0</v>
      </c>
      <c r="F52" s="607">
        <v>0</v>
      </c>
      <c r="G52" s="607">
        <v>0</v>
      </c>
      <c r="H52" s="607">
        <v>0</v>
      </c>
      <c r="I52" s="607">
        <v>0</v>
      </c>
      <c r="J52" s="607">
        <v>0</v>
      </c>
      <c r="K52" s="608"/>
      <c r="L52" s="56"/>
      <c r="M52"/>
      <c r="N52"/>
      <c r="O52"/>
      <c r="P52"/>
      <c r="Q52"/>
      <c r="R52"/>
      <c r="S52"/>
      <c r="T52"/>
      <c r="U52"/>
    </row>
    <row r="53" spans="2:21" s="2" customFormat="1">
      <c r="B53" s="533" t="s">
        <v>564</v>
      </c>
      <c r="C53" s="151" t="s">
        <v>125</v>
      </c>
      <c r="D53" s="606">
        <v>0</v>
      </c>
      <c r="E53" s="607">
        <v>0</v>
      </c>
      <c r="F53" s="607">
        <v>0</v>
      </c>
      <c r="G53" s="607">
        <v>0</v>
      </c>
      <c r="H53" s="607">
        <v>0</v>
      </c>
      <c r="I53" s="607">
        <v>0</v>
      </c>
      <c r="J53" s="607">
        <v>0</v>
      </c>
      <c r="K53" s="608"/>
      <c r="L53" s="56"/>
      <c r="M53"/>
      <c r="N53"/>
      <c r="O53"/>
      <c r="P53"/>
      <c r="Q53"/>
      <c r="R53"/>
      <c r="S53"/>
      <c r="T53"/>
      <c r="U53"/>
    </row>
    <row r="54" spans="2:21" s="2" customFormat="1">
      <c r="B54" s="533" t="s">
        <v>564</v>
      </c>
      <c r="C54" s="151" t="s">
        <v>125</v>
      </c>
      <c r="D54" s="606">
        <v>0</v>
      </c>
      <c r="E54" s="607">
        <v>0</v>
      </c>
      <c r="F54" s="607">
        <v>0</v>
      </c>
      <c r="G54" s="607">
        <v>0</v>
      </c>
      <c r="H54" s="607">
        <v>0</v>
      </c>
      <c r="I54" s="607">
        <v>0</v>
      </c>
      <c r="J54" s="607">
        <v>0</v>
      </c>
      <c r="K54" s="608"/>
      <c r="L54" s="56"/>
      <c r="M54"/>
      <c r="N54"/>
      <c r="O54"/>
      <c r="P54"/>
      <c r="Q54"/>
      <c r="R54"/>
      <c r="S54"/>
      <c r="T54"/>
      <c r="U54"/>
    </row>
    <row r="55" spans="2:21" s="2" customFormat="1">
      <c r="B55" s="533" t="s">
        <v>564</v>
      </c>
      <c r="C55" s="151" t="s">
        <v>125</v>
      </c>
      <c r="D55" s="606">
        <v>0</v>
      </c>
      <c r="E55" s="607">
        <v>0</v>
      </c>
      <c r="F55" s="607">
        <v>0</v>
      </c>
      <c r="G55" s="607">
        <v>0</v>
      </c>
      <c r="H55" s="607">
        <v>0</v>
      </c>
      <c r="I55" s="607">
        <v>0</v>
      </c>
      <c r="J55" s="607">
        <v>0</v>
      </c>
      <c r="K55" s="608"/>
      <c r="L55" s="56"/>
      <c r="M55"/>
      <c r="N55"/>
      <c r="O55"/>
      <c r="P55"/>
      <c r="Q55"/>
      <c r="R55"/>
      <c r="S55"/>
      <c r="T55"/>
      <c r="U55"/>
    </row>
    <row r="56" spans="2:21" s="2" customFormat="1">
      <c r="B56" s="533" t="s">
        <v>564</v>
      </c>
      <c r="C56" s="151" t="s">
        <v>125</v>
      </c>
      <c r="D56" s="606">
        <v>0</v>
      </c>
      <c r="E56" s="607">
        <v>0</v>
      </c>
      <c r="F56" s="607">
        <v>0</v>
      </c>
      <c r="G56" s="607">
        <v>0</v>
      </c>
      <c r="H56" s="607">
        <v>0</v>
      </c>
      <c r="I56" s="607">
        <v>0</v>
      </c>
      <c r="J56" s="607">
        <v>0</v>
      </c>
      <c r="K56" s="608"/>
      <c r="L56" s="56"/>
      <c r="M56"/>
      <c r="N56"/>
      <c r="O56"/>
      <c r="P56"/>
      <c r="Q56"/>
      <c r="R56"/>
      <c r="S56"/>
      <c r="T56"/>
      <c r="U56"/>
    </row>
    <row r="57" spans="2:21" s="2" customFormat="1">
      <c r="B57" s="533" t="s">
        <v>564</v>
      </c>
      <c r="C57" s="151" t="s">
        <v>125</v>
      </c>
      <c r="D57" s="606">
        <v>0</v>
      </c>
      <c r="E57" s="607">
        <v>0</v>
      </c>
      <c r="F57" s="607">
        <v>0</v>
      </c>
      <c r="G57" s="607">
        <v>0</v>
      </c>
      <c r="H57" s="607">
        <v>0</v>
      </c>
      <c r="I57" s="607">
        <v>0</v>
      </c>
      <c r="J57" s="607">
        <v>0</v>
      </c>
      <c r="K57" s="608"/>
      <c r="L57" s="56"/>
      <c r="M57"/>
      <c r="N57"/>
      <c r="O57"/>
      <c r="P57"/>
      <c r="Q57"/>
      <c r="R57"/>
      <c r="S57"/>
      <c r="T57"/>
      <c r="U57"/>
    </row>
    <row r="58" spans="2:21" s="2" customFormat="1">
      <c r="B58" s="533" t="s">
        <v>564</v>
      </c>
      <c r="C58" s="151" t="s">
        <v>125</v>
      </c>
      <c r="D58" s="606">
        <v>0</v>
      </c>
      <c r="E58" s="607">
        <v>0</v>
      </c>
      <c r="F58" s="607">
        <v>0</v>
      </c>
      <c r="G58" s="607">
        <v>0</v>
      </c>
      <c r="H58" s="607">
        <v>0</v>
      </c>
      <c r="I58" s="607">
        <v>0</v>
      </c>
      <c r="J58" s="607">
        <v>0</v>
      </c>
      <c r="K58" s="608"/>
      <c r="L58" s="56"/>
      <c r="M58"/>
      <c r="N58"/>
      <c r="O58"/>
      <c r="P58"/>
      <c r="Q58"/>
      <c r="R58"/>
      <c r="S58"/>
      <c r="T58"/>
      <c r="U58"/>
    </row>
    <row r="59" spans="2:21" s="2" customFormat="1">
      <c r="B59" s="533" t="s">
        <v>564</v>
      </c>
      <c r="C59" s="151" t="s">
        <v>125</v>
      </c>
      <c r="D59" s="606">
        <v>0</v>
      </c>
      <c r="E59" s="607">
        <v>0</v>
      </c>
      <c r="F59" s="607">
        <v>0</v>
      </c>
      <c r="G59" s="607">
        <v>0</v>
      </c>
      <c r="H59" s="607">
        <v>0</v>
      </c>
      <c r="I59" s="607">
        <v>0</v>
      </c>
      <c r="J59" s="607">
        <v>0</v>
      </c>
      <c r="K59" s="608"/>
      <c r="L59" s="56"/>
      <c r="M59"/>
      <c r="N59"/>
      <c r="O59"/>
      <c r="P59"/>
      <c r="Q59"/>
      <c r="R59"/>
      <c r="S59"/>
      <c r="T59"/>
      <c r="U59"/>
    </row>
    <row r="60" spans="2:21" s="2" customFormat="1">
      <c r="B60" s="533" t="s">
        <v>564</v>
      </c>
      <c r="C60" s="151" t="s">
        <v>125</v>
      </c>
      <c r="D60" s="606">
        <v>0</v>
      </c>
      <c r="E60" s="607">
        <v>0</v>
      </c>
      <c r="F60" s="607">
        <v>0</v>
      </c>
      <c r="G60" s="607">
        <v>0</v>
      </c>
      <c r="H60" s="607">
        <v>0</v>
      </c>
      <c r="I60" s="607">
        <v>0</v>
      </c>
      <c r="J60" s="607">
        <v>0</v>
      </c>
      <c r="K60" s="608"/>
      <c r="L60" s="56"/>
      <c r="M60"/>
      <c r="N60"/>
      <c r="O60"/>
      <c r="P60"/>
      <c r="Q60"/>
      <c r="R60"/>
      <c r="S60"/>
      <c r="T60"/>
      <c r="U60"/>
    </row>
    <row r="61" spans="2:21" s="2" customFormat="1">
      <c r="B61" s="533" t="s">
        <v>564</v>
      </c>
      <c r="C61" s="151" t="s">
        <v>125</v>
      </c>
      <c r="D61" s="606">
        <v>0</v>
      </c>
      <c r="E61" s="607">
        <v>0</v>
      </c>
      <c r="F61" s="607">
        <v>0</v>
      </c>
      <c r="G61" s="607">
        <v>0</v>
      </c>
      <c r="H61" s="607">
        <v>0</v>
      </c>
      <c r="I61" s="607">
        <v>0</v>
      </c>
      <c r="J61" s="607">
        <v>0</v>
      </c>
      <c r="K61" s="608"/>
      <c r="L61" s="56"/>
      <c r="M61"/>
      <c r="N61"/>
      <c r="O61"/>
      <c r="P61"/>
      <c r="Q61"/>
      <c r="R61"/>
      <c r="S61"/>
      <c r="T61"/>
      <c r="U61"/>
    </row>
    <row r="62" spans="2:21" s="2" customFormat="1">
      <c r="B62" s="533" t="s">
        <v>564</v>
      </c>
      <c r="C62" s="151" t="s">
        <v>125</v>
      </c>
      <c r="D62" s="606">
        <v>0</v>
      </c>
      <c r="E62" s="607">
        <v>0</v>
      </c>
      <c r="F62" s="607">
        <v>0</v>
      </c>
      <c r="G62" s="607">
        <v>0</v>
      </c>
      <c r="H62" s="607">
        <v>0</v>
      </c>
      <c r="I62" s="607">
        <v>0</v>
      </c>
      <c r="J62" s="607">
        <v>0</v>
      </c>
      <c r="K62" s="608"/>
      <c r="L62" s="56"/>
      <c r="M62"/>
      <c r="N62"/>
      <c r="O62"/>
      <c r="P62"/>
      <c r="Q62"/>
      <c r="R62"/>
      <c r="S62"/>
      <c r="T62"/>
      <c r="U62"/>
    </row>
    <row r="63" spans="2:21" s="2" customFormat="1">
      <c r="B63" s="764" t="s">
        <v>568</v>
      </c>
      <c r="C63" s="151" t="s">
        <v>125</v>
      </c>
      <c r="D63" s="609">
        <v>0</v>
      </c>
      <c r="E63" s="610">
        <v>0</v>
      </c>
      <c r="F63" s="611">
        <v>0</v>
      </c>
      <c r="G63" s="610">
        <v>0</v>
      </c>
      <c r="H63" s="610">
        <v>0</v>
      </c>
      <c r="I63" s="610">
        <v>0</v>
      </c>
      <c r="J63" s="610">
        <v>0</v>
      </c>
      <c r="K63" s="612"/>
      <c r="L63" s="56"/>
      <c r="M63"/>
      <c r="N63"/>
      <c r="O63"/>
      <c r="P63"/>
      <c r="Q63"/>
      <c r="R63"/>
      <c r="S63"/>
      <c r="T63"/>
      <c r="U63"/>
    </row>
    <row r="64" spans="2:21" s="2" customFormat="1">
      <c r="B64" s="760" t="s">
        <v>173</v>
      </c>
      <c r="C64" s="151" t="s">
        <v>125</v>
      </c>
      <c r="D64" s="592">
        <f t="shared" ref="D64:K64" si="5">SUM(D48:D63)</f>
        <v>7.01</v>
      </c>
      <c r="E64" s="593">
        <f t="shared" si="5"/>
        <v>7.73</v>
      </c>
      <c r="F64" s="593">
        <f t="shared" si="5"/>
        <v>8.0419999999999998</v>
      </c>
      <c r="G64" s="593">
        <f t="shared" si="5"/>
        <v>9.3840000000000003</v>
      </c>
      <c r="H64" s="593">
        <f t="shared" si="5"/>
        <v>11.289</v>
      </c>
      <c r="I64" s="593">
        <f t="shared" si="5"/>
        <v>14.903642108915193</v>
      </c>
      <c r="J64" s="593">
        <f t="shared" si="5"/>
        <v>15.237853710145844</v>
      </c>
      <c r="K64" s="594">
        <f t="shared" si="5"/>
        <v>0</v>
      </c>
      <c r="L64" s="56"/>
      <c r="M64"/>
      <c r="N64"/>
      <c r="O64"/>
      <c r="P64"/>
      <c r="Q64"/>
      <c r="R64"/>
      <c r="S64"/>
      <c r="T64"/>
      <c r="U64"/>
    </row>
    <row r="65" spans="1:21" s="2" customFormat="1">
      <c r="B65" s="224"/>
      <c r="C65" s="137"/>
      <c r="D65" s="54"/>
      <c r="E65" s="54"/>
      <c r="F65" s="54"/>
      <c r="G65" s="54"/>
      <c r="H65" s="54"/>
      <c r="I65" s="54"/>
      <c r="J65" s="54"/>
      <c r="K65" s="54"/>
      <c r="L65" s="56"/>
      <c r="M65"/>
      <c r="N65"/>
      <c r="O65"/>
      <c r="P65"/>
      <c r="Q65"/>
      <c r="R65"/>
      <c r="S65"/>
      <c r="T65"/>
      <c r="U65"/>
    </row>
    <row r="66" spans="1:21" s="2" customFormat="1">
      <c r="B66" s="760" t="s">
        <v>143</v>
      </c>
      <c r="C66" s="151" t="s">
        <v>125</v>
      </c>
      <c r="D66" s="613">
        <f t="shared" ref="D66:K66" si="6">D33+D45+D64</f>
        <v>286.33999999999997</v>
      </c>
      <c r="E66" s="614">
        <f t="shared" si="6"/>
        <v>330.70000000000005</v>
      </c>
      <c r="F66" s="614">
        <f t="shared" si="6"/>
        <v>314.452</v>
      </c>
      <c r="G66" s="614">
        <f t="shared" si="6"/>
        <v>315.82400000000001</v>
      </c>
      <c r="H66" s="614">
        <f t="shared" si="6"/>
        <v>345.029</v>
      </c>
      <c r="I66" s="614">
        <f t="shared" si="6"/>
        <v>379.73364210891521</v>
      </c>
      <c r="J66" s="614">
        <f t="shared" si="6"/>
        <v>407.43785371014582</v>
      </c>
      <c r="K66" s="615">
        <f t="shared" si="6"/>
        <v>0</v>
      </c>
      <c r="L66" s="56"/>
      <c r="M66"/>
      <c r="N66"/>
      <c r="O66"/>
      <c r="P66"/>
      <c r="Q66"/>
      <c r="R66"/>
      <c r="S66"/>
      <c r="T66"/>
      <c r="U66"/>
    </row>
    <row r="67" spans="1:21" s="2" customFormat="1">
      <c r="B67" s="760" t="s">
        <v>190</v>
      </c>
      <c r="C67" s="151" t="s">
        <v>125</v>
      </c>
      <c r="D67" s="616">
        <v>286.3</v>
      </c>
      <c r="E67" s="617">
        <v>330.7</v>
      </c>
      <c r="F67" s="617">
        <v>314.5</v>
      </c>
      <c r="G67" s="617">
        <v>315.8</v>
      </c>
      <c r="H67" s="617">
        <v>345</v>
      </c>
      <c r="I67" s="617">
        <v>379.7</v>
      </c>
      <c r="J67" s="617">
        <v>407.4</v>
      </c>
      <c r="K67" s="618"/>
      <c r="L67" s="56"/>
      <c r="M67"/>
      <c r="N67"/>
      <c r="O67"/>
      <c r="P67"/>
      <c r="Q67"/>
      <c r="R67"/>
      <c r="S67"/>
      <c r="T67"/>
      <c r="U67"/>
    </row>
    <row r="68" spans="1:21" s="2" customFormat="1">
      <c r="B68" s="224" t="s">
        <v>119</v>
      </c>
      <c r="C68" s="137"/>
      <c r="D68" s="114" t="str">
        <f>IF(ABS(D66-D67)&lt;'RFPR cover'!$F$14,"OK","Error")</f>
        <v>OK</v>
      </c>
      <c r="E68" s="114" t="str">
        <f>IF(ABS(E66-E67)&lt;'RFPR cover'!$F$14,"OK","Error")</f>
        <v>OK</v>
      </c>
      <c r="F68" s="114" t="str">
        <f>IF(ABS(F66-F67)&lt;'RFPR cover'!$F$14,"OK","Error")</f>
        <v>OK</v>
      </c>
      <c r="G68" s="114" t="str">
        <f>IF(ABS(G66-G67)&lt;'RFPR cover'!$F$14,"OK","Error")</f>
        <v>OK</v>
      </c>
      <c r="H68" s="114" t="str">
        <f>IF(ABS(H66-H67)&lt;'RFPR cover'!$F$14,"OK","Error")</f>
        <v>OK</v>
      </c>
      <c r="I68" s="114" t="str">
        <f>IF(ABS(I66-I67)&lt;'RFPR cover'!$F$14,"OK","Error")</f>
        <v>OK</v>
      </c>
      <c r="J68" s="114" t="str">
        <f>IF(ABS(J66-J67)&lt;'RFPR cover'!$F$14,"OK","Error")</f>
        <v>OK</v>
      </c>
      <c r="K68" s="114" t="str">
        <f>IF(ABS(K66-K67)&lt;'RFPR cover'!$F$14,"OK","Error")</f>
        <v>OK</v>
      </c>
      <c r="L68" s="56"/>
      <c r="M68"/>
      <c r="N68"/>
      <c r="O68"/>
      <c r="P68"/>
      <c r="Q68"/>
      <c r="R68"/>
      <c r="S68"/>
      <c r="T68"/>
      <c r="U68"/>
    </row>
    <row r="69" spans="1:21" s="2" customFormat="1">
      <c r="B69" s="128"/>
      <c r="C69" s="137"/>
      <c r="D69" s="46"/>
      <c r="E69" s="46"/>
      <c r="F69" s="46"/>
      <c r="G69" s="46"/>
      <c r="H69" s="46"/>
      <c r="I69" s="46"/>
      <c r="J69" s="46"/>
      <c r="K69" s="46"/>
      <c r="L69" s="56"/>
      <c r="M69"/>
      <c r="N69"/>
      <c r="O69"/>
      <c r="P69"/>
      <c r="Q69"/>
      <c r="R69"/>
      <c r="S69"/>
      <c r="T69"/>
      <c r="U69"/>
    </row>
    <row r="70" spans="1:21" s="2" customFormat="1">
      <c r="B70" s="128"/>
      <c r="C70" s="135"/>
      <c r="L70" s="52"/>
      <c r="M70"/>
      <c r="N70"/>
      <c r="O70"/>
      <c r="P70"/>
      <c r="Q70"/>
      <c r="R70"/>
      <c r="S70"/>
      <c r="T70"/>
      <c r="U70"/>
    </row>
    <row r="71" spans="1:21" s="2" customFormat="1">
      <c r="A71" s="79"/>
      <c r="B71" s="765"/>
      <c r="C71" s="149"/>
      <c r="D71" s="79"/>
      <c r="E71" s="79"/>
      <c r="F71" s="79"/>
      <c r="G71" s="79"/>
      <c r="H71" s="79"/>
      <c r="I71" s="79"/>
      <c r="J71" s="79"/>
      <c r="K71" s="79"/>
      <c r="L71" s="270"/>
      <c r="M71"/>
      <c r="N71"/>
      <c r="O71"/>
      <c r="P71"/>
      <c r="Q71"/>
      <c r="R71"/>
      <c r="S71"/>
      <c r="T71"/>
      <c r="U71"/>
    </row>
  </sheetData>
  <conditionalFormatting sqref="D6:K6">
    <cfRule type="expression" dxfId="60" priority="12">
      <formula>AND(D$5="Actuals",E$5="Forecast")</formula>
    </cfRule>
  </conditionalFormatting>
  <conditionalFormatting sqref="D5:K5">
    <cfRule type="expression" dxfId="59" priority="5">
      <formula>AND(D$5="Actuals",E$5="Forecast")</formula>
    </cfRule>
  </conditionalFormatting>
  <conditionalFormatting sqref="D28:H28 D33:K33 D36:K45 D48:K64 D66:K68">
    <cfRule type="expression" dxfId="58" priority="4">
      <formula>D$5="Forecast"</formula>
    </cfRule>
  </conditionalFormatting>
  <conditionalFormatting sqref="I14:K15 I28:K28 K10:K13 I17:K18 K16 I26:K26 K19:K25">
    <cfRule type="expression" dxfId="57" priority="3">
      <formula>I$5="Forecast"</formula>
    </cfRule>
  </conditionalFormatting>
  <conditionalFormatting sqref="H10:H26 I10:J13 I16:J16 I19:J25">
    <cfRule type="expression" dxfId="56" priority="2">
      <formula>H$5="Forecast"</formula>
    </cfRule>
  </conditionalFormatting>
  <conditionalFormatting sqref="G10:G26">
    <cfRule type="expression" dxfId="55"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4.5" customWidth="1"/>
    <col min="3" max="3" width="13.375" style="135" customWidth="1"/>
    <col min="4" max="11" width="11.125" customWidth="1"/>
    <col min="12" max="12" width="5" customWidth="1"/>
  </cols>
  <sheetData>
    <row r="1" spans="1:12" s="29" customFormat="1" ht="20.25">
      <c r="A1" s="917" t="s">
        <v>305</v>
      </c>
      <c r="B1" s="918"/>
      <c r="C1" s="147"/>
      <c r="D1" s="120"/>
      <c r="E1" s="120"/>
      <c r="F1" s="120"/>
      <c r="G1" s="120"/>
      <c r="H1" s="120"/>
      <c r="I1" s="120"/>
      <c r="J1" s="120"/>
      <c r="K1" s="120"/>
      <c r="L1" s="121"/>
    </row>
    <row r="2" spans="1:12" s="29" customFormat="1" ht="20.25">
      <c r="A2" s="902" t="str">
        <f>'RFPR cover'!C5</f>
        <v>SPT</v>
      </c>
      <c r="B2" s="895"/>
      <c r="C2" s="133"/>
      <c r="D2" s="27"/>
      <c r="E2" s="27"/>
      <c r="F2" s="27"/>
      <c r="G2" s="27"/>
      <c r="H2" s="27"/>
      <c r="I2" s="25"/>
      <c r="J2" s="25"/>
      <c r="K2" s="25"/>
      <c r="L2" s="122"/>
    </row>
    <row r="3" spans="1:12" s="29" customFormat="1" ht="20.25">
      <c r="A3" s="919">
        <f>'RFPR cover'!C7</f>
        <v>2020</v>
      </c>
      <c r="B3" s="920"/>
      <c r="C3" s="148"/>
      <c r="D3" s="123"/>
      <c r="E3" s="123"/>
      <c r="F3" s="123"/>
      <c r="G3" s="123"/>
      <c r="H3" s="123"/>
      <c r="I3" s="26"/>
      <c r="J3" s="26"/>
      <c r="K3" s="26"/>
      <c r="L3" s="124"/>
    </row>
    <row r="4" spans="1:12" s="2" customFormat="1" ht="12.75" customHeight="1">
      <c r="C4" s="135"/>
    </row>
    <row r="5" spans="1:12" s="2" customFormat="1">
      <c r="B5" s="3"/>
      <c r="C5" s="135"/>
      <c r="D5" s="379" t="str">
        <f>IF(D6&lt;='RFPR cover'!$C$7,"Actuals","N/A")</f>
        <v>Actuals</v>
      </c>
      <c r="E5" s="380" t="str">
        <f>IF(E6&lt;='RFPR cover'!$C$7,"Actuals","N/A")</f>
        <v>Actuals</v>
      </c>
      <c r="F5" s="380" t="str">
        <f>IF(F6&lt;='RFPR cover'!$C$7,"Actuals","N/A")</f>
        <v>Actuals</v>
      </c>
      <c r="G5" s="380" t="str">
        <f>IF(G6&lt;='RFPR cover'!$C$7,"Actuals","N/A")</f>
        <v>Actuals</v>
      </c>
      <c r="H5" s="380" t="str">
        <f>IF(H6&lt;='RFPR cover'!$C$7,"Actuals","N/A")</f>
        <v>Actuals</v>
      </c>
      <c r="I5" s="380" t="str">
        <f>IF(I6&lt;='RFPR cover'!$C$7,"Actuals","N/A")</f>
        <v>Actuals</v>
      </c>
      <c r="J5" s="380" t="str">
        <f>IF(J6&lt;='RFPR cover'!$C$7,"Actuals","N/A")</f>
        <v>Actuals</v>
      </c>
      <c r="K5" s="381" t="str">
        <f>IF(K6&lt;='RFPR cover'!$C$7,"Actuals","N/A")</f>
        <v>N/A</v>
      </c>
    </row>
    <row r="6" spans="1:12" s="2" customFormat="1">
      <c r="C6" s="135"/>
      <c r="D6" s="116">
        <f>'RFPR cover'!$C$13</f>
        <v>2014</v>
      </c>
      <c r="E6" s="117">
        <f>D6+1</f>
        <v>2015</v>
      </c>
      <c r="F6" s="117">
        <f t="shared" ref="F6:K6" si="0">E6+1</f>
        <v>2016</v>
      </c>
      <c r="G6" s="117">
        <f t="shared" si="0"/>
        <v>2017</v>
      </c>
      <c r="H6" s="117">
        <f t="shared" si="0"/>
        <v>2018</v>
      </c>
      <c r="I6" s="117">
        <f t="shared" si="0"/>
        <v>2019</v>
      </c>
      <c r="J6" s="117">
        <f t="shared" si="0"/>
        <v>2020</v>
      </c>
      <c r="K6" s="194">
        <f t="shared" si="0"/>
        <v>2021</v>
      </c>
    </row>
    <row r="7" spans="1:12" s="2" customFormat="1">
      <c r="C7" s="135"/>
    </row>
    <row r="8" spans="1:12" s="2" customFormat="1">
      <c r="B8" s="49" t="s">
        <v>311</v>
      </c>
      <c r="C8" s="136"/>
      <c r="D8" s="49"/>
      <c r="E8" s="49"/>
      <c r="F8" s="49"/>
      <c r="G8" s="49"/>
      <c r="H8" s="49"/>
      <c r="I8" s="49"/>
      <c r="J8" s="49"/>
      <c r="K8" s="49"/>
      <c r="L8" s="33"/>
    </row>
    <row r="9" spans="1:12" s="2" customFormat="1">
      <c r="B9" s="128" t="s">
        <v>156</v>
      </c>
      <c r="C9" s="151" t="s">
        <v>125</v>
      </c>
      <c r="D9" s="584">
        <v>291.39999999999998</v>
      </c>
      <c r="E9" s="585">
        <v>341.8</v>
      </c>
      <c r="F9" s="585">
        <v>394.3</v>
      </c>
      <c r="G9" s="585">
        <v>361.09999999999997</v>
      </c>
      <c r="H9" s="585">
        <v>254.49999999999966</v>
      </c>
      <c r="I9" s="585">
        <v>181.90000000000066</v>
      </c>
      <c r="J9" s="585">
        <v>188.1</v>
      </c>
      <c r="K9" s="595"/>
    </row>
    <row r="10" spans="1:12" s="2" customFormat="1">
      <c r="B10" s="128" t="s">
        <v>157</v>
      </c>
      <c r="C10" s="151" t="s">
        <v>125</v>
      </c>
      <c r="D10" s="586">
        <v>0</v>
      </c>
      <c r="E10" s="587">
        <v>0</v>
      </c>
      <c r="F10" s="587">
        <v>0</v>
      </c>
      <c r="G10" s="587">
        <v>0</v>
      </c>
      <c r="H10" s="587">
        <v>0</v>
      </c>
      <c r="I10" s="587">
        <v>0</v>
      </c>
      <c r="J10" s="587">
        <v>0</v>
      </c>
      <c r="K10" s="596"/>
    </row>
    <row r="11" spans="1:12" s="2" customFormat="1" ht="29.25" customHeight="1">
      <c r="B11" s="129" t="s">
        <v>438</v>
      </c>
      <c r="C11" s="151" t="s">
        <v>125</v>
      </c>
      <c r="D11" s="586">
        <v>0</v>
      </c>
      <c r="E11" s="587">
        <v>0</v>
      </c>
      <c r="F11" s="587">
        <v>0</v>
      </c>
      <c r="G11" s="587">
        <v>0</v>
      </c>
      <c r="H11" s="587">
        <v>0</v>
      </c>
      <c r="I11" s="587">
        <v>0</v>
      </c>
      <c r="J11" s="587">
        <v>0</v>
      </c>
      <c r="K11" s="596"/>
    </row>
    <row r="12" spans="1:12" s="2" customFormat="1">
      <c r="B12" s="128" t="s">
        <v>158</v>
      </c>
      <c r="C12" s="151" t="s">
        <v>125</v>
      </c>
      <c r="D12" s="586">
        <v>-9.9010641800000023</v>
      </c>
      <c r="E12" s="587">
        <v>-7.2</v>
      </c>
      <c r="F12" s="587">
        <v>-14.6</v>
      </c>
      <c r="G12" s="587">
        <v>-16.399999999999999</v>
      </c>
      <c r="H12" s="587">
        <v>-19.8</v>
      </c>
      <c r="I12" s="587">
        <v>-20.900000000000002</v>
      </c>
      <c r="J12" s="587">
        <v>-12.7</v>
      </c>
      <c r="K12" s="596"/>
    </row>
    <row r="13" spans="1:12" s="2" customFormat="1">
      <c r="B13" s="128" t="s">
        <v>159</v>
      </c>
      <c r="C13" s="151" t="s">
        <v>125</v>
      </c>
      <c r="D13" s="586">
        <v>-1.9525106900000002</v>
      </c>
      <c r="E13" s="587">
        <v>-3.1751428599999993</v>
      </c>
      <c r="F13" s="587">
        <v>-4.44193207</v>
      </c>
      <c r="G13" s="587">
        <v>-5.0944122099999998</v>
      </c>
      <c r="H13" s="587">
        <v>-4.1250720099999993</v>
      </c>
      <c r="I13" s="587">
        <v>-1.6845632699999999</v>
      </c>
      <c r="J13" s="587">
        <v>-0.26533519</v>
      </c>
      <c r="K13" s="596"/>
    </row>
    <row r="14" spans="1:12" s="2" customFormat="1">
      <c r="B14" s="128" t="s">
        <v>160</v>
      </c>
      <c r="C14" s="151" t="s">
        <v>125</v>
      </c>
      <c r="D14" s="622">
        <v>0</v>
      </c>
      <c r="E14" s="623">
        <v>0</v>
      </c>
      <c r="F14" s="623">
        <v>0</v>
      </c>
      <c r="G14" s="623">
        <v>0</v>
      </c>
      <c r="H14" s="623">
        <v>0</v>
      </c>
      <c r="I14" s="623">
        <v>0</v>
      </c>
      <c r="J14" s="623">
        <v>0</v>
      </c>
      <c r="K14" s="624"/>
    </row>
    <row r="15" spans="1:12" s="2" customFormat="1">
      <c r="A15" s="3">
        <v>1</v>
      </c>
      <c r="B15" s="864" t="s">
        <v>573</v>
      </c>
      <c r="C15" s="151" t="s">
        <v>125</v>
      </c>
      <c r="D15" s="584">
        <v>0</v>
      </c>
      <c r="E15" s="585">
        <v>0</v>
      </c>
      <c r="F15" s="585">
        <v>0</v>
      </c>
      <c r="G15" s="585">
        <v>0</v>
      </c>
      <c r="H15" s="585">
        <v>0</v>
      </c>
      <c r="I15" s="585">
        <v>0</v>
      </c>
      <c r="J15" s="585">
        <v>-26.199999999999996</v>
      </c>
      <c r="K15" s="595"/>
    </row>
    <row r="16" spans="1:12" s="2" customFormat="1">
      <c r="A16" s="3">
        <v>2</v>
      </c>
      <c r="B16" s="864" t="s">
        <v>564</v>
      </c>
      <c r="C16" s="151" t="s">
        <v>125</v>
      </c>
      <c r="D16" s="586">
        <v>0</v>
      </c>
      <c r="E16" s="587">
        <v>0</v>
      </c>
      <c r="F16" s="587">
        <v>0</v>
      </c>
      <c r="G16" s="587">
        <v>0</v>
      </c>
      <c r="H16" s="587">
        <v>0</v>
      </c>
      <c r="I16" s="587">
        <v>0</v>
      </c>
      <c r="J16" s="587">
        <v>0</v>
      </c>
      <c r="K16" s="596"/>
    </row>
    <row r="17" spans="1:11" s="2" customFormat="1">
      <c r="A17" s="3">
        <v>3</v>
      </c>
      <c r="B17" s="864" t="s">
        <v>564</v>
      </c>
      <c r="C17" s="151" t="s">
        <v>125</v>
      </c>
      <c r="D17" s="586">
        <v>0</v>
      </c>
      <c r="E17" s="587">
        <v>0</v>
      </c>
      <c r="F17" s="587">
        <v>0</v>
      </c>
      <c r="G17" s="587">
        <v>0</v>
      </c>
      <c r="H17" s="587">
        <v>0</v>
      </c>
      <c r="I17" s="587">
        <v>0</v>
      </c>
      <c r="J17" s="587">
        <v>0</v>
      </c>
      <c r="K17" s="596"/>
    </row>
    <row r="18" spans="1:11" s="2" customFormat="1">
      <c r="B18" s="12" t="s">
        <v>161</v>
      </c>
      <c r="C18" s="151" t="s">
        <v>125</v>
      </c>
      <c r="D18" s="625">
        <f>SUM(D9:D17)</f>
        <v>279.54642512999999</v>
      </c>
      <c r="E18" s="626">
        <f t="shared" ref="E18:K18" si="1">SUM(E9:E17)</f>
        <v>331.42485714000003</v>
      </c>
      <c r="F18" s="626">
        <f t="shared" si="1"/>
        <v>375.25806792999998</v>
      </c>
      <c r="G18" s="626">
        <f t="shared" si="1"/>
        <v>339.60558779000002</v>
      </c>
      <c r="H18" s="626">
        <f t="shared" si="1"/>
        <v>230.57492798999965</v>
      </c>
      <c r="I18" s="626">
        <f t="shared" ref="I18:J18" si="2">SUM(I9:I17)</f>
        <v>159.31543673000064</v>
      </c>
      <c r="J18" s="626">
        <f t="shared" si="2"/>
        <v>148.93466481000002</v>
      </c>
      <c r="K18" s="627">
        <f t="shared" si="1"/>
        <v>0</v>
      </c>
    </row>
    <row r="19" spans="1:11" s="2" customFormat="1">
      <c r="B19" s="128" t="s">
        <v>162</v>
      </c>
      <c r="C19" s="151" t="s">
        <v>125</v>
      </c>
      <c r="D19" s="628">
        <v>34.5</v>
      </c>
      <c r="E19" s="629">
        <v>49.300000000000004</v>
      </c>
      <c r="F19" s="629">
        <v>51.5</v>
      </c>
      <c r="G19" s="629">
        <v>60.199999999999989</v>
      </c>
      <c r="H19" s="629">
        <v>64.2</v>
      </c>
      <c r="I19" s="629">
        <v>74.099999999999994</v>
      </c>
      <c r="J19" s="629">
        <v>97.700000000000017</v>
      </c>
      <c r="K19" s="630"/>
    </row>
    <row r="20" spans="1:11" s="2" customFormat="1">
      <c r="A20" s="3">
        <v>1</v>
      </c>
      <c r="B20" s="864" t="s">
        <v>564</v>
      </c>
      <c r="C20" s="151" t="s">
        <v>125</v>
      </c>
      <c r="D20" s="584">
        <v>0</v>
      </c>
      <c r="E20" s="585">
        <v>0</v>
      </c>
      <c r="F20" s="585">
        <v>0</v>
      </c>
      <c r="G20" s="585">
        <v>0</v>
      </c>
      <c r="H20" s="585">
        <v>0</v>
      </c>
      <c r="I20" s="585">
        <v>0</v>
      </c>
      <c r="J20" s="585">
        <v>0</v>
      </c>
      <c r="K20" s="595"/>
    </row>
    <row r="21" spans="1:11" s="2" customFormat="1">
      <c r="A21" s="3">
        <v>2</v>
      </c>
      <c r="B21" s="864" t="s">
        <v>564</v>
      </c>
      <c r="C21" s="151" t="s">
        <v>125</v>
      </c>
      <c r="D21" s="586">
        <v>0</v>
      </c>
      <c r="E21" s="587">
        <v>0</v>
      </c>
      <c r="F21" s="587">
        <v>0</v>
      </c>
      <c r="G21" s="587">
        <v>0</v>
      </c>
      <c r="H21" s="587">
        <v>0</v>
      </c>
      <c r="I21" s="587">
        <v>0</v>
      </c>
      <c r="J21" s="587">
        <v>0</v>
      </c>
      <c r="K21" s="596"/>
    </row>
    <row r="22" spans="1:11" s="2" customFormat="1">
      <c r="A22" s="3">
        <v>3</v>
      </c>
      <c r="B22" s="864" t="s">
        <v>564</v>
      </c>
      <c r="C22" s="151" t="s">
        <v>125</v>
      </c>
      <c r="D22" s="586">
        <v>0</v>
      </c>
      <c r="E22" s="587">
        <v>0</v>
      </c>
      <c r="F22" s="587">
        <v>0</v>
      </c>
      <c r="G22" s="587">
        <v>0</v>
      </c>
      <c r="H22" s="587">
        <v>0</v>
      </c>
      <c r="I22" s="587">
        <v>0</v>
      </c>
      <c r="J22" s="587">
        <v>0</v>
      </c>
      <c r="K22" s="596"/>
    </row>
    <row r="23" spans="1:11" s="2" customFormat="1">
      <c r="B23" s="12" t="s">
        <v>163</v>
      </c>
      <c r="C23" s="151" t="s">
        <v>125</v>
      </c>
      <c r="D23" s="600">
        <f>SUM(D18:D22)</f>
        <v>314.04642512999999</v>
      </c>
      <c r="E23" s="601">
        <f t="shared" ref="E23:K23" si="3">SUM(E18:E22)</f>
        <v>380.72485714000004</v>
      </c>
      <c r="F23" s="601">
        <f t="shared" si="3"/>
        <v>426.75806792999998</v>
      </c>
      <c r="G23" s="601">
        <f t="shared" si="3"/>
        <v>399.80558779</v>
      </c>
      <c r="H23" s="601">
        <f t="shared" si="3"/>
        <v>294.77492798999964</v>
      </c>
      <c r="I23" s="601">
        <f t="shared" ref="I23:J23" si="4">SUM(I18:I22)</f>
        <v>233.41543673000064</v>
      </c>
      <c r="J23" s="601">
        <f t="shared" si="4"/>
        <v>246.63466481000003</v>
      </c>
      <c r="K23" s="602">
        <f t="shared" si="3"/>
        <v>0</v>
      </c>
    </row>
    <row r="24" spans="1:11" s="2" customFormat="1">
      <c r="C24" s="135"/>
      <c r="D24" s="50"/>
      <c r="E24" s="50"/>
      <c r="F24" s="50"/>
      <c r="G24" s="50"/>
      <c r="H24" s="50"/>
      <c r="I24" s="50"/>
      <c r="J24" s="50"/>
      <c r="K24" s="50"/>
    </row>
    <row r="25" spans="1:11" s="2" customFormat="1">
      <c r="B25" s="12" t="s">
        <v>428</v>
      </c>
      <c r="C25" s="151" t="s">
        <v>125</v>
      </c>
      <c r="D25" s="52"/>
    </row>
    <row r="26" spans="1:11" s="2" customFormat="1">
      <c r="A26" s="3">
        <v>1</v>
      </c>
      <c r="B26" s="510" t="s">
        <v>574</v>
      </c>
      <c r="C26" s="151" t="s">
        <v>125</v>
      </c>
      <c r="D26" s="584">
        <v>-0.23646759043905213</v>
      </c>
      <c r="E26" s="585">
        <v>-0.31840863132030622</v>
      </c>
      <c r="F26" s="585">
        <v>-5.0884695471816961E-2</v>
      </c>
      <c r="G26" s="585">
        <v>-0.43725048705207925</v>
      </c>
      <c r="H26" s="585">
        <v>0.73807939659788424</v>
      </c>
      <c r="I26" s="585">
        <v>0.79308417022913069</v>
      </c>
      <c r="J26" s="585">
        <v>1.114916925283258</v>
      </c>
      <c r="K26" s="595"/>
    </row>
    <row r="27" spans="1:11" s="2" customFormat="1">
      <c r="A27" s="3">
        <v>2</v>
      </c>
      <c r="B27" s="510" t="s">
        <v>575</v>
      </c>
      <c r="C27" s="151" t="s">
        <v>125</v>
      </c>
      <c r="D27" s="586">
        <v>2.6063116179036765</v>
      </c>
      <c r="E27" s="587">
        <v>3.3117272330559668</v>
      </c>
      <c r="F27" s="587">
        <v>9.6877690318359768</v>
      </c>
      <c r="G27" s="587">
        <v>7.0802604136541509</v>
      </c>
      <c r="H27" s="587">
        <v>4.8921311413011317</v>
      </c>
      <c r="I27" s="587">
        <v>3.1000000000000005</v>
      </c>
      <c r="J27" s="587">
        <v>2.9</v>
      </c>
      <c r="K27" s="596"/>
    </row>
    <row r="28" spans="1:11" s="2" customFormat="1">
      <c r="A28" s="3">
        <v>3</v>
      </c>
      <c r="B28" s="510" t="s">
        <v>576</v>
      </c>
      <c r="C28" s="151" t="s">
        <v>125</v>
      </c>
      <c r="D28" s="586">
        <v>0</v>
      </c>
      <c r="E28" s="587">
        <v>0</v>
      </c>
      <c r="F28" s="587">
        <v>0</v>
      </c>
      <c r="G28" s="587">
        <v>1.3995422200000001</v>
      </c>
      <c r="H28" s="587">
        <v>3.0769535399999999</v>
      </c>
      <c r="I28" s="587">
        <v>8.9207893499999997</v>
      </c>
      <c r="J28" s="587">
        <v>7.2575942299999996</v>
      </c>
      <c r="K28" s="596"/>
    </row>
    <row r="29" spans="1:11" s="2" customFormat="1">
      <c r="A29" s="3">
        <v>4</v>
      </c>
      <c r="B29" s="510" t="s">
        <v>577</v>
      </c>
      <c r="C29" s="151" t="s">
        <v>125</v>
      </c>
      <c r="D29" s="586">
        <v>-54.684665204800012</v>
      </c>
      <c r="E29" s="587">
        <v>-66.140531579200001</v>
      </c>
      <c r="F29" s="587">
        <v>-36.450127729599991</v>
      </c>
      <c r="G29" s="587">
        <v>-23.8063596368</v>
      </c>
      <c r="H29" s="587">
        <v>-17.515062442593049</v>
      </c>
      <c r="I29" s="587">
        <v>-8.6614016797650599</v>
      </c>
      <c r="J29" s="587">
        <v>-5.720102308942332</v>
      </c>
      <c r="K29" s="596"/>
    </row>
    <row r="30" spans="1:11" s="2" customFormat="1">
      <c r="A30" s="3">
        <v>5</v>
      </c>
      <c r="B30" s="510" t="s">
        <v>578</v>
      </c>
      <c r="C30" s="151" t="s">
        <v>125</v>
      </c>
      <c r="D30" s="586">
        <v>-1.7140537300000001</v>
      </c>
      <c r="E30" s="587">
        <v>-1.34433844</v>
      </c>
      <c r="F30" s="587">
        <v>-1.7216833800000002</v>
      </c>
      <c r="G30" s="587">
        <v>-1.8130586000000002</v>
      </c>
      <c r="H30" s="587">
        <v>-1.9032785444241997</v>
      </c>
      <c r="I30" s="587">
        <v>-3.1868720654365985</v>
      </c>
      <c r="J30" s="587">
        <v>-2.7143210824863191</v>
      </c>
      <c r="K30" s="596"/>
    </row>
    <row r="31" spans="1:11" s="2" customFormat="1">
      <c r="A31" s="3">
        <v>6</v>
      </c>
      <c r="B31" s="510" t="s">
        <v>579</v>
      </c>
      <c r="C31" s="151" t="s">
        <v>125</v>
      </c>
      <c r="D31" s="586">
        <v>0</v>
      </c>
      <c r="E31" s="587">
        <v>0</v>
      </c>
      <c r="F31" s="587">
        <v>0</v>
      </c>
      <c r="G31" s="587">
        <v>-6.086060000014098E-3</v>
      </c>
      <c r="H31" s="587">
        <v>-1.0831410000020525E-2</v>
      </c>
      <c r="I31" s="587">
        <v>0</v>
      </c>
      <c r="J31" s="587">
        <v>0</v>
      </c>
      <c r="K31" s="596"/>
    </row>
    <row r="32" spans="1:11" s="2" customFormat="1">
      <c r="A32" s="3">
        <v>7</v>
      </c>
      <c r="B32" s="510" t="s">
        <v>580</v>
      </c>
      <c r="C32" s="151" t="s">
        <v>125</v>
      </c>
      <c r="D32" s="586">
        <v>1.6279455322161742</v>
      </c>
      <c r="E32" s="587">
        <v>2.2464793809354897</v>
      </c>
      <c r="F32" s="587">
        <v>2.5657421772607067</v>
      </c>
      <c r="G32" s="587">
        <v>2.1428932603281079</v>
      </c>
      <c r="H32" s="587">
        <v>1.8761140696755239</v>
      </c>
      <c r="I32" s="587">
        <v>1.143840151411702</v>
      </c>
      <c r="J32" s="587">
        <v>1.6069996434460556</v>
      </c>
      <c r="K32" s="596"/>
    </row>
    <row r="33" spans="1:11" s="2" customFormat="1">
      <c r="A33" s="3">
        <v>8</v>
      </c>
      <c r="B33" s="510" t="s">
        <v>581</v>
      </c>
      <c r="C33" s="151" t="s">
        <v>125</v>
      </c>
      <c r="D33" s="586">
        <v>1.6084711777920002</v>
      </c>
      <c r="E33" s="587">
        <v>2.3808030919480516</v>
      </c>
      <c r="F33" s="587">
        <v>2.4355584000000001</v>
      </c>
      <c r="G33" s="587">
        <v>4.2031404036883258</v>
      </c>
      <c r="H33" s="587">
        <v>2.6195126467283587</v>
      </c>
      <c r="I33" s="587">
        <v>2.7216736399507648</v>
      </c>
      <c r="J33" s="587">
        <v>2.8114888700691405</v>
      </c>
      <c r="K33" s="596"/>
    </row>
    <row r="34" spans="1:11" s="2" customFormat="1">
      <c r="A34" s="3">
        <v>9</v>
      </c>
      <c r="B34" s="510" t="s">
        <v>582</v>
      </c>
      <c r="C34" s="151" t="s">
        <v>125</v>
      </c>
      <c r="D34" s="586">
        <v>0</v>
      </c>
      <c r="E34" s="587">
        <v>0</v>
      </c>
      <c r="F34" s="587">
        <v>0</v>
      </c>
      <c r="G34" s="587">
        <v>0</v>
      </c>
      <c r="H34" s="587">
        <v>0</v>
      </c>
      <c r="I34" s="587">
        <v>0</v>
      </c>
      <c r="J34" s="587">
        <v>0.48659956999999998</v>
      </c>
      <c r="K34" s="596"/>
    </row>
    <row r="35" spans="1:11" s="2" customFormat="1">
      <c r="A35" s="3">
        <v>10</v>
      </c>
      <c r="B35" s="510" t="s">
        <v>564</v>
      </c>
      <c r="C35" s="151" t="s">
        <v>125</v>
      </c>
      <c r="D35" s="586">
        <v>0</v>
      </c>
      <c r="E35" s="587">
        <v>0</v>
      </c>
      <c r="F35" s="587">
        <v>0</v>
      </c>
      <c r="G35" s="587">
        <v>0</v>
      </c>
      <c r="H35" s="587">
        <v>0</v>
      </c>
      <c r="I35" s="587">
        <v>0</v>
      </c>
      <c r="J35" s="587">
        <v>0</v>
      </c>
      <c r="K35" s="596"/>
    </row>
    <row r="36" spans="1:11" s="2" customFormat="1">
      <c r="A36" s="3">
        <v>11</v>
      </c>
      <c r="B36" s="510" t="s">
        <v>564</v>
      </c>
      <c r="C36" s="151" t="s">
        <v>125</v>
      </c>
      <c r="D36" s="586">
        <v>0</v>
      </c>
      <c r="E36" s="587">
        <v>0</v>
      </c>
      <c r="F36" s="587">
        <v>0</v>
      </c>
      <c r="G36" s="587">
        <v>0</v>
      </c>
      <c r="H36" s="587">
        <v>0</v>
      </c>
      <c r="I36" s="587">
        <v>0</v>
      </c>
      <c r="J36" s="587">
        <v>0</v>
      </c>
      <c r="K36" s="596"/>
    </row>
    <row r="37" spans="1:11" s="2" customFormat="1">
      <c r="A37" s="3">
        <v>12</v>
      </c>
      <c r="B37" s="510" t="s">
        <v>564</v>
      </c>
      <c r="C37" s="151" t="s">
        <v>125</v>
      </c>
      <c r="D37" s="586">
        <v>0</v>
      </c>
      <c r="E37" s="587">
        <v>0</v>
      </c>
      <c r="F37" s="587">
        <v>0</v>
      </c>
      <c r="G37" s="587">
        <v>0</v>
      </c>
      <c r="H37" s="587">
        <v>0</v>
      </c>
      <c r="I37" s="587">
        <v>0</v>
      </c>
      <c r="J37" s="587">
        <v>0</v>
      </c>
      <c r="K37" s="596"/>
    </row>
    <row r="38" spans="1:11" s="2" customFormat="1">
      <c r="A38" s="3">
        <v>13</v>
      </c>
      <c r="B38" s="510" t="s">
        <v>564</v>
      </c>
      <c r="C38" s="151" t="s">
        <v>125</v>
      </c>
      <c r="D38" s="586">
        <v>0</v>
      </c>
      <c r="E38" s="587">
        <v>0</v>
      </c>
      <c r="F38" s="587">
        <v>0</v>
      </c>
      <c r="G38" s="587">
        <v>0</v>
      </c>
      <c r="H38" s="587">
        <v>0</v>
      </c>
      <c r="I38" s="587">
        <v>0</v>
      </c>
      <c r="J38" s="587">
        <v>0</v>
      </c>
      <c r="K38" s="596"/>
    </row>
    <row r="39" spans="1:11" s="2" customFormat="1">
      <c r="A39" s="3">
        <v>14</v>
      </c>
      <c r="B39" s="510" t="s">
        <v>564</v>
      </c>
      <c r="C39" s="151" t="s">
        <v>125</v>
      </c>
      <c r="D39" s="586">
        <v>0</v>
      </c>
      <c r="E39" s="587">
        <v>0</v>
      </c>
      <c r="F39" s="587">
        <v>0</v>
      </c>
      <c r="G39" s="587">
        <v>0</v>
      </c>
      <c r="H39" s="587">
        <v>0</v>
      </c>
      <c r="I39" s="587">
        <v>0</v>
      </c>
      <c r="J39" s="587">
        <v>0</v>
      </c>
      <c r="K39" s="596"/>
    </row>
    <row r="40" spans="1:11" s="2" customFormat="1">
      <c r="A40" s="3">
        <v>15</v>
      </c>
      <c r="B40" s="510" t="s">
        <v>564</v>
      </c>
      <c r="C40" s="151" t="s">
        <v>125</v>
      </c>
      <c r="D40" s="586">
        <v>0</v>
      </c>
      <c r="E40" s="587">
        <v>0</v>
      </c>
      <c r="F40" s="587">
        <v>0</v>
      </c>
      <c r="G40" s="587">
        <v>0</v>
      </c>
      <c r="H40" s="587">
        <v>0</v>
      </c>
      <c r="I40" s="587">
        <v>0</v>
      </c>
      <c r="J40" s="587">
        <v>0</v>
      </c>
      <c r="K40" s="596"/>
    </row>
    <row r="41" spans="1:11" s="2" customFormat="1">
      <c r="A41" s="3">
        <v>16</v>
      </c>
      <c r="B41" s="510" t="s">
        <v>564</v>
      </c>
      <c r="C41" s="151" t="s">
        <v>125</v>
      </c>
      <c r="D41" s="586">
        <v>0</v>
      </c>
      <c r="E41" s="587">
        <v>0</v>
      </c>
      <c r="F41" s="587">
        <v>0</v>
      </c>
      <c r="G41" s="587">
        <v>0</v>
      </c>
      <c r="H41" s="587">
        <v>0</v>
      </c>
      <c r="I41" s="587">
        <v>0</v>
      </c>
      <c r="J41" s="587">
        <v>0</v>
      </c>
      <c r="K41" s="596"/>
    </row>
    <row r="42" spans="1:11" s="2" customFormat="1">
      <c r="A42" s="3">
        <v>17</v>
      </c>
      <c r="B42" s="510" t="s">
        <v>564</v>
      </c>
      <c r="C42" s="151" t="s">
        <v>125</v>
      </c>
      <c r="D42" s="586">
        <v>0</v>
      </c>
      <c r="E42" s="587">
        <v>0</v>
      </c>
      <c r="F42" s="587">
        <v>0</v>
      </c>
      <c r="G42" s="587">
        <v>0</v>
      </c>
      <c r="H42" s="587">
        <v>0</v>
      </c>
      <c r="I42" s="587">
        <v>0</v>
      </c>
      <c r="J42" s="587">
        <v>0</v>
      </c>
      <c r="K42" s="596"/>
    </row>
    <row r="43" spans="1:11" s="2" customFormat="1">
      <c r="A43" s="3">
        <v>18</v>
      </c>
      <c r="B43" s="510" t="s">
        <v>564</v>
      </c>
      <c r="C43" s="151" t="s">
        <v>125</v>
      </c>
      <c r="D43" s="586">
        <v>0</v>
      </c>
      <c r="E43" s="587">
        <v>0</v>
      </c>
      <c r="F43" s="587">
        <v>0</v>
      </c>
      <c r="G43" s="587">
        <v>0</v>
      </c>
      <c r="H43" s="587">
        <v>0</v>
      </c>
      <c r="I43" s="587">
        <v>0</v>
      </c>
      <c r="J43" s="587">
        <v>0</v>
      </c>
      <c r="K43" s="596"/>
    </row>
    <row r="44" spans="1:11" s="2" customFormat="1">
      <c r="A44" s="3">
        <v>19</v>
      </c>
      <c r="B44" s="510" t="s">
        <v>564</v>
      </c>
      <c r="C44" s="151" t="s">
        <v>125</v>
      </c>
      <c r="D44" s="586">
        <v>0</v>
      </c>
      <c r="E44" s="587">
        <v>0</v>
      </c>
      <c r="F44" s="587">
        <v>0</v>
      </c>
      <c r="G44" s="587">
        <v>0</v>
      </c>
      <c r="H44" s="587">
        <v>0</v>
      </c>
      <c r="I44" s="587">
        <v>0</v>
      </c>
      <c r="J44" s="587">
        <v>0</v>
      </c>
      <c r="K44" s="596"/>
    </row>
    <row r="45" spans="1:11" s="2" customFormat="1">
      <c r="A45" s="3">
        <v>20</v>
      </c>
      <c r="B45" s="510" t="s">
        <v>564</v>
      </c>
      <c r="C45" s="151" t="s">
        <v>125</v>
      </c>
      <c r="D45" s="586">
        <v>0</v>
      </c>
      <c r="E45" s="587">
        <v>0</v>
      </c>
      <c r="F45" s="587">
        <v>0</v>
      </c>
      <c r="G45" s="587">
        <v>0</v>
      </c>
      <c r="H45" s="587">
        <v>0</v>
      </c>
      <c r="I45" s="587">
        <v>0</v>
      </c>
      <c r="J45" s="587">
        <v>0</v>
      </c>
      <c r="K45" s="596"/>
    </row>
    <row r="46" spans="1:11" s="2" customFormat="1">
      <c r="B46" s="12" t="s">
        <v>381</v>
      </c>
      <c r="C46" s="151" t="s">
        <v>125</v>
      </c>
      <c r="D46" s="600">
        <f>SUM(D26:D45)</f>
        <v>-50.792458197327221</v>
      </c>
      <c r="E46" s="601">
        <f t="shared" ref="E46:K46" si="5">SUM(E26:E45)</f>
        <v>-59.864268944580793</v>
      </c>
      <c r="F46" s="601">
        <f t="shared" si="5"/>
        <v>-23.533626195975124</v>
      </c>
      <c r="G46" s="601">
        <f t="shared" si="5"/>
        <v>-11.236918486181509</v>
      </c>
      <c r="H46" s="601">
        <f t="shared" si="5"/>
        <v>-6.2263816027143726</v>
      </c>
      <c r="I46" s="601">
        <f t="shared" si="5"/>
        <v>4.8311135663899378</v>
      </c>
      <c r="J46" s="601">
        <f t="shared" si="5"/>
        <v>7.7431758473698027</v>
      </c>
      <c r="K46" s="602">
        <f t="shared" si="5"/>
        <v>0</v>
      </c>
    </row>
    <row r="47" spans="1:11" s="2" customFormat="1">
      <c r="C47" s="135"/>
      <c r="D47" s="51"/>
      <c r="E47" s="50"/>
      <c r="F47" s="50"/>
      <c r="G47" s="50"/>
      <c r="H47" s="50"/>
      <c r="I47" s="50"/>
      <c r="J47" s="50"/>
      <c r="K47" s="50"/>
    </row>
    <row r="48" spans="1:11" s="2" customFormat="1">
      <c r="B48" s="12" t="s">
        <v>427</v>
      </c>
      <c r="C48" s="151" t="s">
        <v>125</v>
      </c>
      <c r="D48" s="600">
        <f>D46+D23</f>
        <v>263.25396693267277</v>
      </c>
      <c r="E48" s="601">
        <f t="shared" ref="E48:K48" si="6">E46+E23</f>
        <v>320.86058819541927</v>
      </c>
      <c r="F48" s="601">
        <f t="shared" si="6"/>
        <v>403.22444173402488</v>
      </c>
      <c r="G48" s="601">
        <f t="shared" si="6"/>
        <v>388.56866930381852</v>
      </c>
      <c r="H48" s="601">
        <f t="shared" si="6"/>
        <v>288.54854638728528</v>
      </c>
      <c r="I48" s="601">
        <f t="shared" si="6"/>
        <v>238.24655029639058</v>
      </c>
      <c r="J48" s="601">
        <f t="shared" si="6"/>
        <v>254.37784065736983</v>
      </c>
      <c r="K48" s="602">
        <f t="shared" si="6"/>
        <v>0</v>
      </c>
    </row>
    <row r="49" spans="1:11" s="2" customFormat="1">
      <c r="B49" s="2" t="s">
        <v>382</v>
      </c>
      <c r="C49" s="151" t="s">
        <v>125</v>
      </c>
      <c r="D49" s="584">
        <v>263.25396693267277</v>
      </c>
      <c r="E49" s="585">
        <v>320.86058819541927</v>
      </c>
      <c r="F49" s="585">
        <v>403.22444173402488</v>
      </c>
      <c r="G49" s="585">
        <v>388.56866930381852</v>
      </c>
      <c r="H49" s="585">
        <v>288.54709658728541</v>
      </c>
      <c r="I49" s="585">
        <v>238.24655029639058</v>
      </c>
      <c r="J49" s="585">
        <v>254.28841419736983</v>
      </c>
      <c r="K49" s="595"/>
    </row>
    <row r="50" spans="1:11" s="2" customFormat="1">
      <c r="C50" s="135" t="s">
        <v>385</v>
      </c>
      <c r="D50" s="631" t="str">
        <f>IF(D$5="Actuals",IF(ABS(D48-D49)&lt;1,"OK","ERROR"),"N/A")</f>
        <v>OK</v>
      </c>
      <c r="E50" s="632" t="str">
        <f t="shared" ref="E50:K50" si="7">IF(E$5="Actuals",IF(ABS(E48-E49)&lt;1,"OK","ERROR"),"N/A")</f>
        <v>OK</v>
      </c>
      <c r="F50" s="632" t="str">
        <f t="shared" si="7"/>
        <v>OK</v>
      </c>
      <c r="G50" s="632" t="str">
        <f t="shared" si="7"/>
        <v>OK</v>
      </c>
      <c r="H50" s="632" t="str">
        <f t="shared" si="7"/>
        <v>OK</v>
      </c>
      <c r="I50" s="632" t="str">
        <f t="shared" si="7"/>
        <v>OK</v>
      </c>
      <c r="J50" s="632" t="str">
        <f t="shared" si="7"/>
        <v>OK</v>
      </c>
      <c r="K50" s="633" t="str">
        <f t="shared" si="7"/>
        <v>N/A</v>
      </c>
    </row>
    <row r="51" spans="1:11" s="2" customFormat="1">
      <c r="B51" s="2" t="s">
        <v>81</v>
      </c>
      <c r="C51" s="135"/>
      <c r="D51" s="52"/>
    </row>
    <row r="52" spans="1:11" s="2" customFormat="1">
      <c r="B52" s="12" t="s">
        <v>383</v>
      </c>
      <c r="C52" s="151"/>
      <c r="D52" s="52"/>
    </row>
    <row r="53" spans="1:11" s="2" customFormat="1">
      <c r="A53" s="3">
        <v>1</v>
      </c>
      <c r="B53" s="887" t="s">
        <v>583</v>
      </c>
      <c r="C53" s="151" t="s">
        <v>125</v>
      </c>
      <c r="D53" s="584">
        <v>14.46463452508987</v>
      </c>
      <c r="E53" s="585">
        <v>29.395565911579318</v>
      </c>
      <c r="F53" s="585">
        <v>30.196290048219527</v>
      </c>
      <c r="G53" s="585">
        <v>31.363424365716554</v>
      </c>
      <c r="H53" s="585">
        <v>39.167714748169203</v>
      </c>
      <c r="I53" s="585">
        <v>39.006503000253083</v>
      </c>
      <c r="J53" s="585">
        <v>40.106987843326515</v>
      </c>
      <c r="K53" s="595"/>
    </row>
    <row r="54" spans="1:11" s="2" customFormat="1">
      <c r="A54" s="3">
        <v>2</v>
      </c>
      <c r="B54" s="509" t="s">
        <v>584</v>
      </c>
      <c r="C54" s="151" t="s">
        <v>125</v>
      </c>
      <c r="D54" s="586">
        <v>0.66851300000000013</v>
      </c>
      <c r="E54" s="587">
        <v>1.6725303993873082</v>
      </c>
      <c r="F54" s="587">
        <v>2.6368336617639527</v>
      </c>
      <c r="G54" s="587">
        <v>5.5072918617670688</v>
      </c>
      <c r="H54" s="587">
        <v>5.5724629974998914</v>
      </c>
      <c r="I54" s="587">
        <v>11.054100557462716</v>
      </c>
      <c r="J54" s="587">
        <v>9.1057438650086944</v>
      </c>
      <c r="K54" s="596"/>
    </row>
    <row r="55" spans="1:11" s="2" customFormat="1">
      <c r="A55" s="3">
        <v>3</v>
      </c>
      <c r="B55" s="509" t="s">
        <v>585</v>
      </c>
      <c r="C55" s="151" t="s">
        <v>125</v>
      </c>
      <c r="D55" s="586">
        <v>0.75162524673538078</v>
      </c>
      <c r="E55" s="587">
        <v>0.81373939329596057</v>
      </c>
      <c r="F55" s="587">
        <v>1.0616729943300576</v>
      </c>
      <c r="G55" s="587">
        <v>1.1635210646886953</v>
      </c>
      <c r="H55" s="587">
        <v>0.82376217199350177</v>
      </c>
      <c r="I55" s="587">
        <v>0.49858846999999995</v>
      </c>
      <c r="J55" s="587">
        <v>0.55720110999999994</v>
      </c>
      <c r="K55" s="596"/>
    </row>
    <row r="56" spans="1:11" s="2" customFormat="1">
      <c r="A56" s="3">
        <v>4</v>
      </c>
      <c r="B56" s="509" t="s">
        <v>586</v>
      </c>
      <c r="C56" s="151" t="s">
        <v>125</v>
      </c>
      <c r="D56" s="586">
        <v>7.9535184485812636</v>
      </c>
      <c r="E56" s="587">
        <v>9.3594431564591378</v>
      </c>
      <c r="F56" s="587">
        <v>14.026205429739607</v>
      </c>
      <c r="G56" s="587">
        <v>4.8868788758711554</v>
      </c>
      <c r="H56" s="587">
        <v>4.1856394230875491</v>
      </c>
      <c r="I56" s="587">
        <v>0</v>
      </c>
      <c r="J56" s="587">
        <v>0</v>
      </c>
      <c r="K56" s="596"/>
    </row>
    <row r="57" spans="1:11" s="2" customFormat="1">
      <c r="A57" s="3">
        <v>5</v>
      </c>
      <c r="B57" s="887" t="s">
        <v>564</v>
      </c>
      <c r="C57" s="151" t="s">
        <v>125</v>
      </c>
      <c r="D57" s="586">
        <v>0</v>
      </c>
      <c r="E57" s="587">
        <v>0</v>
      </c>
      <c r="F57" s="587">
        <v>0</v>
      </c>
      <c r="G57" s="587">
        <v>0</v>
      </c>
      <c r="H57" s="587">
        <v>0</v>
      </c>
      <c r="I57" s="587">
        <v>0</v>
      </c>
      <c r="J57" s="587">
        <v>0</v>
      </c>
      <c r="K57" s="596"/>
    </row>
    <row r="58" spans="1:11" s="2" customFormat="1">
      <c r="A58" s="3">
        <v>6</v>
      </c>
      <c r="B58" s="887" t="s">
        <v>564</v>
      </c>
      <c r="C58" s="151" t="s">
        <v>125</v>
      </c>
      <c r="D58" s="586">
        <v>0</v>
      </c>
      <c r="E58" s="587">
        <v>0</v>
      </c>
      <c r="F58" s="587">
        <v>0</v>
      </c>
      <c r="G58" s="587">
        <v>0</v>
      </c>
      <c r="H58" s="587">
        <v>0</v>
      </c>
      <c r="I58" s="587">
        <v>0</v>
      </c>
      <c r="J58" s="587">
        <v>0</v>
      </c>
      <c r="K58" s="596"/>
    </row>
    <row r="59" spans="1:11" s="2" customFormat="1">
      <c r="A59" s="3">
        <v>7</v>
      </c>
      <c r="B59" s="887" t="s">
        <v>564</v>
      </c>
      <c r="C59" s="151" t="s">
        <v>125</v>
      </c>
      <c r="D59" s="586">
        <v>0</v>
      </c>
      <c r="E59" s="587">
        <v>0</v>
      </c>
      <c r="F59" s="587">
        <v>0</v>
      </c>
      <c r="G59" s="587">
        <v>0</v>
      </c>
      <c r="H59" s="587">
        <v>0</v>
      </c>
      <c r="I59" s="587">
        <v>0</v>
      </c>
      <c r="J59" s="587">
        <v>0</v>
      </c>
      <c r="K59" s="596"/>
    </row>
    <row r="60" spans="1:11" s="2" customFormat="1">
      <c r="A60" s="3">
        <v>8</v>
      </c>
      <c r="B60" s="887" t="s">
        <v>564</v>
      </c>
      <c r="C60" s="151" t="s">
        <v>125</v>
      </c>
      <c r="D60" s="586">
        <v>0</v>
      </c>
      <c r="E60" s="587">
        <v>0</v>
      </c>
      <c r="F60" s="587">
        <v>0</v>
      </c>
      <c r="G60" s="587">
        <v>0</v>
      </c>
      <c r="H60" s="587">
        <v>0</v>
      </c>
      <c r="I60" s="587">
        <v>0</v>
      </c>
      <c r="J60" s="587">
        <v>0</v>
      </c>
      <c r="K60" s="596"/>
    </row>
    <row r="61" spans="1:11" s="2" customFormat="1">
      <c r="A61" s="3">
        <v>9</v>
      </c>
      <c r="B61" s="887" t="s">
        <v>564</v>
      </c>
      <c r="C61" s="151" t="s">
        <v>125</v>
      </c>
      <c r="D61" s="586">
        <v>0</v>
      </c>
      <c r="E61" s="587">
        <v>0</v>
      </c>
      <c r="F61" s="587">
        <v>0</v>
      </c>
      <c r="G61" s="587">
        <v>0</v>
      </c>
      <c r="H61" s="587">
        <v>0</v>
      </c>
      <c r="I61" s="587">
        <v>0</v>
      </c>
      <c r="J61" s="587">
        <v>0</v>
      </c>
      <c r="K61" s="596"/>
    </row>
    <row r="62" spans="1:11" s="2" customFormat="1">
      <c r="A62" s="3">
        <v>10</v>
      </c>
      <c r="B62" s="887" t="s">
        <v>564</v>
      </c>
      <c r="C62" s="151" t="s">
        <v>125</v>
      </c>
      <c r="D62" s="586">
        <v>0</v>
      </c>
      <c r="E62" s="587">
        <v>0</v>
      </c>
      <c r="F62" s="587">
        <v>0</v>
      </c>
      <c r="G62" s="587">
        <v>0</v>
      </c>
      <c r="H62" s="587">
        <v>0</v>
      </c>
      <c r="I62" s="587">
        <v>0</v>
      </c>
      <c r="J62" s="587">
        <v>0</v>
      </c>
      <c r="K62" s="596"/>
    </row>
    <row r="63" spans="1:11" s="2" customFormat="1">
      <c r="A63" s="3">
        <v>11</v>
      </c>
      <c r="B63" s="887" t="s">
        <v>564</v>
      </c>
      <c r="C63" s="151" t="s">
        <v>125</v>
      </c>
      <c r="D63" s="586">
        <v>0</v>
      </c>
      <c r="E63" s="587">
        <v>0</v>
      </c>
      <c r="F63" s="587">
        <v>0</v>
      </c>
      <c r="G63" s="587">
        <v>0</v>
      </c>
      <c r="H63" s="587">
        <v>0</v>
      </c>
      <c r="I63" s="587">
        <v>0</v>
      </c>
      <c r="J63" s="587">
        <v>0</v>
      </c>
      <c r="K63" s="596"/>
    </row>
    <row r="64" spans="1:11" s="2" customFormat="1">
      <c r="A64" s="3">
        <v>12</v>
      </c>
      <c r="B64" s="887" t="s">
        <v>564</v>
      </c>
      <c r="C64" s="151" t="s">
        <v>125</v>
      </c>
      <c r="D64" s="586">
        <v>0</v>
      </c>
      <c r="E64" s="587">
        <v>0</v>
      </c>
      <c r="F64" s="587">
        <v>0</v>
      </c>
      <c r="G64" s="587">
        <v>0</v>
      </c>
      <c r="H64" s="587">
        <v>0</v>
      </c>
      <c r="I64" s="587">
        <v>0</v>
      </c>
      <c r="J64" s="587">
        <v>0</v>
      </c>
      <c r="K64" s="596"/>
    </row>
    <row r="65" spans="1:11" s="2" customFormat="1">
      <c r="A65" s="3">
        <v>13</v>
      </c>
      <c r="B65" s="887" t="s">
        <v>564</v>
      </c>
      <c r="C65" s="151" t="s">
        <v>125</v>
      </c>
      <c r="D65" s="586">
        <v>0</v>
      </c>
      <c r="E65" s="587">
        <v>0</v>
      </c>
      <c r="F65" s="587">
        <v>0</v>
      </c>
      <c r="G65" s="587">
        <v>0</v>
      </c>
      <c r="H65" s="587">
        <v>0</v>
      </c>
      <c r="I65" s="587">
        <v>0</v>
      </c>
      <c r="J65" s="587">
        <v>0</v>
      </c>
      <c r="K65" s="596"/>
    </row>
    <row r="66" spans="1:11" s="2" customFormat="1">
      <c r="A66" s="3">
        <v>14</v>
      </c>
      <c r="B66" s="887" t="s">
        <v>564</v>
      </c>
      <c r="C66" s="151" t="s">
        <v>125</v>
      </c>
      <c r="D66" s="586">
        <v>0</v>
      </c>
      <c r="E66" s="587">
        <v>0</v>
      </c>
      <c r="F66" s="587">
        <v>0</v>
      </c>
      <c r="G66" s="587">
        <v>0</v>
      </c>
      <c r="H66" s="587">
        <v>0</v>
      </c>
      <c r="I66" s="587">
        <v>0</v>
      </c>
      <c r="J66" s="587">
        <v>0</v>
      </c>
      <c r="K66" s="596"/>
    </row>
    <row r="67" spans="1:11" s="2" customFormat="1">
      <c r="A67" s="3">
        <v>15</v>
      </c>
      <c r="B67" s="887" t="s">
        <v>564</v>
      </c>
      <c r="C67" s="151" t="s">
        <v>125</v>
      </c>
      <c r="D67" s="586">
        <v>0</v>
      </c>
      <c r="E67" s="587">
        <v>0</v>
      </c>
      <c r="F67" s="587">
        <v>0</v>
      </c>
      <c r="G67" s="587">
        <v>0</v>
      </c>
      <c r="H67" s="587">
        <v>0</v>
      </c>
      <c r="I67" s="587">
        <v>0</v>
      </c>
      <c r="J67" s="587">
        <v>0</v>
      </c>
      <c r="K67" s="596"/>
    </row>
    <row r="68" spans="1:11" s="2" customFormat="1">
      <c r="A68" s="3">
        <v>16</v>
      </c>
      <c r="B68" s="887" t="s">
        <v>564</v>
      </c>
      <c r="C68" s="151" t="s">
        <v>125</v>
      </c>
      <c r="D68" s="586">
        <v>0</v>
      </c>
      <c r="E68" s="587">
        <v>0</v>
      </c>
      <c r="F68" s="587">
        <v>0</v>
      </c>
      <c r="G68" s="587">
        <v>0</v>
      </c>
      <c r="H68" s="587">
        <v>0</v>
      </c>
      <c r="I68" s="587">
        <v>0</v>
      </c>
      <c r="J68" s="587">
        <v>0</v>
      </c>
      <c r="K68" s="596"/>
    </row>
    <row r="69" spans="1:11" s="2" customFormat="1">
      <c r="A69" s="3">
        <v>17</v>
      </c>
      <c r="B69" s="887" t="s">
        <v>564</v>
      </c>
      <c r="C69" s="151" t="s">
        <v>125</v>
      </c>
      <c r="D69" s="586">
        <v>0</v>
      </c>
      <c r="E69" s="587">
        <v>0</v>
      </c>
      <c r="F69" s="587">
        <v>0</v>
      </c>
      <c r="G69" s="587">
        <v>0</v>
      </c>
      <c r="H69" s="587">
        <v>0</v>
      </c>
      <c r="I69" s="587">
        <v>0</v>
      </c>
      <c r="J69" s="587">
        <v>0</v>
      </c>
      <c r="K69" s="596"/>
    </row>
    <row r="70" spans="1:11" s="2" customFormat="1">
      <c r="A70" s="3">
        <v>18</v>
      </c>
      <c r="B70" s="887" t="s">
        <v>564</v>
      </c>
      <c r="C70" s="151" t="s">
        <v>125</v>
      </c>
      <c r="D70" s="586">
        <v>0</v>
      </c>
      <c r="E70" s="587">
        <v>0</v>
      </c>
      <c r="F70" s="587">
        <v>0</v>
      </c>
      <c r="G70" s="587">
        <v>0</v>
      </c>
      <c r="H70" s="587">
        <v>0</v>
      </c>
      <c r="I70" s="587">
        <v>0</v>
      </c>
      <c r="J70" s="587">
        <v>0</v>
      </c>
      <c r="K70" s="596"/>
    </row>
    <row r="71" spans="1:11" s="2" customFormat="1">
      <c r="A71" s="3">
        <v>19</v>
      </c>
      <c r="B71" s="887" t="s">
        <v>564</v>
      </c>
      <c r="C71" s="151" t="s">
        <v>125</v>
      </c>
      <c r="D71" s="586">
        <v>0</v>
      </c>
      <c r="E71" s="587">
        <v>0</v>
      </c>
      <c r="F71" s="587">
        <v>0</v>
      </c>
      <c r="G71" s="587">
        <v>0</v>
      </c>
      <c r="H71" s="587">
        <v>0</v>
      </c>
      <c r="I71" s="587">
        <v>0</v>
      </c>
      <c r="J71" s="587">
        <v>0</v>
      </c>
      <c r="K71" s="596"/>
    </row>
    <row r="72" spans="1:11" s="2" customFormat="1">
      <c r="A72" s="3">
        <v>20</v>
      </c>
      <c r="B72" s="887" t="s">
        <v>564</v>
      </c>
      <c r="C72" s="151" t="s">
        <v>125</v>
      </c>
      <c r="D72" s="586">
        <v>0</v>
      </c>
      <c r="E72" s="587">
        <v>0</v>
      </c>
      <c r="F72" s="587">
        <v>0</v>
      </c>
      <c r="G72" s="587">
        <v>0</v>
      </c>
      <c r="H72" s="587">
        <v>0</v>
      </c>
      <c r="I72" s="587">
        <v>0</v>
      </c>
      <c r="J72" s="587">
        <v>0</v>
      </c>
      <c r="K72" s="596"/>
    </row>
    <row r="73" spans="1:11" s="2" customFormat="1">
      <c r="A73" s="3">
        <v>21</v>
      </c>
      <c r="B73" s="887" t="s">
        <v>564</v>
      </c>
      <c r="C73" s="151" t="s">
        <v>125</v>
      </c>
      <c r="D73" s="586">
        <v>0</v>
      </c>
      <c r="E73" s="587">
        <v>0</v>
      </c>
      <c r="F73" s="587">
        <v>0</v>
      </c>
      <c r="G73" s="587">
        <v>0</v>
      </c>
      <c r="H73" s="587">
        <v>0</v>
      </c>
      <c r="I73" s="587">
        <v>0</v>
      </c>
      <c r="J73" s="587">
        <v>0</v>
      </c>
      <c r="K73" s="596"/>
    </row>
    <row r="74" spans="1:11" s="2" customFormat="1">
      <c r="A74" s="3">
        <v>22</v>
      </c>
      <c r="B74" s="887" t="s">
        <v>564</v>
      </c>
      <c r="C74" s="151" t="s">
        <v>125</v>
      </c>
      <c r="D74" s="586">
        <v>0</v>
      </c>
      <c r="E74" s="587">
        <v>0</v>
      </c>
      <c r="F74" s="587">
        <v>0</v>
      </c>
      <c r="G74" s="587">
        <v>0</v>
      </c>
      <c r="H74" s="587">
        <v>0</v>
      </c>
      <c r="I74" s="587">
        <v>0</v>
      </c>
      <c r="J74" s="587">
        <v>0</v>
      </c>
      <c r="K74" s="596"/>
    </row>
    <row r="75" spans="1:11" s="2" customFormat="1">
      <c r="A75" s="3">
        <v>23</v>
      </c>
      <c r="B75" s="887" t="s">
        <v>564</v>
      </c>
      <c r="C75" s="151" t="s">
        <v>125</v>
      </c>
      <c r="D75" s="586">
        <v>0</v>
      </c>
      <c r="E75" s="587">
        <v>0</v>
      </c>
      <c r="F75" s="587">
        <v>0</v>
      </c>
      <c r="G75" s="587">
        <v>0</v>
      </c>
      <c r="H75" s="587">
        <v>0</v>
      </c>
      <c r="I75" s="587">
        <v>0</v>
      </c>
      <c r="J75" s="587">
        <v>0</v>
      </c>
      <c r="K75" s="596"/>
    </row>
    <row r="76" spans="1:11" s="2" customFormat="1">
      <c r="A76" s="3">
        <v>24</v>
      </c>
      <c r="B76" s="887" t="s">
        <v>564</v>
      </c>
      <c r="C76" s="151" t="s">
        <v>125</v>
      </c>
      <c r="D76" s="586">
        <v>0</v>
      </c>
      <c r="E76" s="587">
        <v>0</v>
      </c>
      <c r="F76" s="587">
        <v>0</v>
      </c>
      <c r="G76" s="587">
        <v>0</v>
      </c>
      <c r="H76" s="587">
        <v>0</v>
      </c>
      <c r="I76" s="587">
        <v>0</v>
      </c>
      <c r="J76" s="587">
        <v>0</v>
      </c>
      <c r="K76" s="596"/>
    </row>
    <row r="77" spans="1:11" s="2" customFormat="1">
      <c r="A77" s="3">
        <v>25</v>
      </c>
      <c r="B77" s="887" t="s">
        <v>564</v>
      </c>
      <c r="C77" s="151" t="s">
        <v>125</v>
      </c>
      <c r="D77" s="622">
        <v>0</v>
      </c>
      <c r="E77" s="623">
        <v>0</v>
      </c>
      <c r="F77" s="623">
        <v>0</v>
      </c>
      <c r="G77" s="623">
        <v>0</v>
      </c>
      <c r="H77" s="623">
        <v>0</v>
      </c>
      <c r="I77" s="623">
        <v>0</v>
      </c>
      <c r="J77" s="623">
        <v>0</v>
      </c>
      <c r="K77" s="624"/>
    </row>
    <row r="78" spans="1:11" s="2" customFormat="1">
      <c r="B78" s="12" t="s">
        <v>167</v>
      </c>
      <c r="C78" s="151" t="s">
        <v>125</v>
      </c>
      <c r="D78" s="600">
        <f>SUM(D53:D77)</f>
        <v>23.838291220406518</v>
      </c>
      <c r="E78" s="601">
        <f t="shared" ref="E78:K78" si="8">SUM(E53:E77)</f>
        <v>41.241278860721728</v>
      </c>
      <c r="F78" s="601">
        <f t="shared" si="8"/>
        <v>47.921002134053147</v>
      </c>
      <c r="G78" s="601">
        <f t="shared" si="8"/>
        <v>42.921116168043476</v>
      </c>
      <c r="H78" s="601">
        <f t="shared" si="8"/>
        <v>49.749579340750145</v>
      </c>
      <c r="I78" s="601">
        <f t="shared" si="8"/>
        <v>50.559192027715802</v>
      </c>
      <c r="J78" s="601">
        <f t="shared" si="8"/>
        <v>49.769932818335214</v>
      </c>
      <c r="K78" s="602">
        <f t="shared" si="8"/>
        <v>0</v>
      </c>
    </row>
    <row r="79" spans="1:11" s="2" customFormat="1">
      <c r="C79" s="135"/>
      <c r="D79" s="51"/>
      <c r="E79" s="50"/>
      <c r="F79" s="50"/>
      <c r="G79" s="50"/>
      <c r="H79" s="50"/>
      <c r="I79" s="50"/>
      <c r="J79" s="50"/>
      <c r="K79" s="50"/>
    </row>
    <row r="80" spans="1:11" s="2" customFormat="1">
      <c r="B80" s="12" t="s">
        <v>384</v>
      </c>
      <c r="C80" s="151" t="s">
        <v>125</v>
      </c>
      <c r="D80" s="600">
        <f>D48-D78</f>
        <v>239.41567571226625</v>
      </c>
      <c r="E80" s="601">
        <f t="shared" ref="E80:K80" si="9">E48-E78</f>
        <v>279.61930933469756</v>
      </c>
      <c r="F80" s="601">
        <f t="shared" si="9"/>
        <v>355.30343959997174</v>
      </c>
      <c r="G80" s="601">
        <f t="shared" si="9"/>
        <v>345.64755313577507</v>
      </c>
      <c r="H80" s="601">
        <f t="shared" si="9"/>
        <v>238.79896704653515</v>
      </c>
      <c r="I80" s="601">
        <f t="shared" si="9"/>
        <v>187.68735826867479</v>
      </c>
      <c r="J80" s="601">
        <f t="shared" si="9"/>
        <v>204.60790783903462</v>
      </c>
      <c r="K80" s="602">
        <f t="shared" si="9"/>
        <v>0</v>
      </c>
    </row>
    <row r="81" spans="2:11" s="2" customFormat="1">
      <c r="B81" s="12" t="s">
        <v>472</v>
      </c>
      <c r="C81" s="151" t="s">
        <v>125</v>
      </c>
      <c r="D81" s="634">
        <f>'R4 - Totex'!D92+'R4 - Totex'!D122</f>
        <v>239.41534259943089</v>
      </c>
      <c r="E81" s="635">
        <f>'R4 - Totex'!E92+'R4 - Totex'!E122</f>
        <v>279.61892028217682</v>
      </c>
      <c r="F81" s="635">
        <f>'R4 - Totex'!F92+'R4 - Totex'!F122</f>
        <v>355.30294518097361</v>
      </c>
      <c r="G81" s="635">
        <f>'R4 - Totex'!G92+'R4 - Totex'!G122</f>
        <v>345.64707255132072</v>
      </c>
      <c r="H81" s="635">
        <f>'R4 - Totex'!H92+'R4 - Totex'!H122</f>
        <v>238.7971852251641</v>
      </c>
      <c r="I81" s="635">
        <f>'R4 - Totex'!I92+'R4 - Totex'!I122</f>
        <v>187.68709731029153</v>
      </c>
      <c r="J81" s="635">
        <f>'R4 - Totex'!J92+'R4 - Totex'!J122</f>
        <v>204.51819701884787</v>
      </c>
      <c r="K81" s="635">
        <f>'R4 - Totex'!K92+'R4 - Totex'!K122</f>
        <v>310.92960309646088</v>
      </c>
    </row>
    <row r="82" spans="2:11" s="2" customFormat="1">
      <c r="C82" s="135" t="s">
        <v>385</v>
      </c>
      <c r="D82" s="562" t="str">
        <f>IF(D$5="Actuals",IF(ABS(D80-('R4 - Totex'!D92+'R4 - Totex'!D122))&lt;'RFPR cover'!$F$14,"OK","Error"),"N/A")</f>
        <v>OK</v>
      </c>
      <c r="E82" s="562" t="str">
        <f>IF(E$5="Actuals",IF(ABS(E80-('R4 - Totex'!E92+'R4 - Totex'!E122))&lt;'RFPR cover'!$F$14,"OK","Error"),"N/A")</f>
        <v>OK</v>
      </c>
      <c r="F82" s="562" t="str">
        <f>IF(F$5="Actuals",IF(ABS(F80-('R4 - Totex'!F92+'R4 - Totex'!F122))&lt;'RFPR cover'!$F$14,"OK","Error"),"N/A")</f>
        <v>OK</v>
      </c>
      <c r="G82" s="562" t="str">
        <f>IF(G$5="Actuals",IF(ABS(G80-('R4 - Totex'!G92+'R4 - Totex'!G122))&lt;'RFPR cover'!$F$14,"OK","Error"),"N/A")</f>
        <v>OK</v>
      </c>
      <c r="H82" s="562" t="str">
        <f>IF(H$5="Actuals",IF(ABS(H80-('R4 - Totex'!H92+'R4 - Totex'!H122))&lt;'RFPR cover'!$F$14,"OK","Error"),"N/A")</f>
        <v>OK</v>
      </c>
      <c r="I82" s="562" t="str">
        <f>IF(I$5="Actuals",IF(ABS(I80-('R4 - Totex'!I92+'R4 - Totex'!I122))&lt;'RFPR cover'!$F$14,"OK","Error"),"N/A")</f>
        <v>OK</v>
      </c>
      <c r="J82" s="562" t="str">
        <f>IF(J$5="Actuals",IF(ABS(J80-('R4 - Totex'!J92+'R4 - Totex'!J122))&lt;'RFPR cover'!$F$14,"OK","Error"),"N/A")</f>
        <v>OK</v>
      </c>
      <c r="K82" s="562" t="str">
        <f>IF(K$5="Actuals",IF(ABS(K80-('R4 - Totex'!K92+'R4 - Totex'!K122))&lt;'RFPR cover'!$F$14,"OK","Error"),"N/A")</f>
        <v>N/A</v>
      </c>
    </row>
    <row r="83" spans="2:11" s="2" customFormat="1">
      <c r="C83" s="135"/>
    </row>
    <row r="84" spans="2:11">
      <c r="D84" s="214"/>
      <c r="E84" s="214"/>
      <c r="F84" s="214"/>
      <c r="G84" s="214"/>
      <c r="H84" s="214"/>
      <c r="I84" s="214"/>
      <c r="J84" s="214"/>
      <c r="K84" s="214"/>
    </row>
    <row r="85" spans="2:11">
      <c r="D85" s="214"/>
      <c r="E85" s="214"/>
      <c r="F85" s="214"/>
      <c r="G85" s="214"/>
      <c r="H85" s="214"/>
      <c r="I85" s="214"/>
      <c r="J85" s="214"/>
      <c r="K85" s="214"/>
    </row>
    <row r="86" spans="2:11">
      <c r="D86" s="214"/>
      <c r="E86" s="214"/>
      <c r="F86" s="214"/>
      <c r="G86" s="214"/>
      <c r="H86" s="214"/>
      <c r="I86" s="214"/>
      <c r="J86" s="214"/>
      <c r="K86" s="214"/>
    </row>
  </sheetData>
  <conditionalFormatting sqref="D6:J6">
    <cfRule type="expression" dxfId="54" priority="17">
      <formula>AND(D$5="Actuals",E$5="N/A")</formula>
    </cfRule>
  </conditionalFormatting>
  <conditionalFormatting sqref="D5:K5">
    <cfRule type="expression" dxfId="53" priority="8">
      <formula>AND(D$5="Actuals",E$5="N/A")</formula>
    </cfRule>
  </conditionalFormatting>
  <conditionalFormatting sqref="D80:K80 D82:K82 D53:K78 D26:K46 D48:K50 D9:K14 D18:K19 D23:K23">
    <cfRule type="expression" dxfId="52" priority="3">
      <formula>D$5="N/A"</formula>
    </cfRule>
  </conditionalFormatting>
  <conditionalFormatting sqref="D15:K17">
    <cfRule type="expression" dxfId="51" priority="2">
      <formula>D$5="N/A"</formula>
    </cfRule>
  </conditionalFormatting>
  <conditionalFormatting sqref="D20:K22">
    <cfRule type="expression" dxfId="50"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CC"/>
    <pageSetUpPr fitToPage="1"/>
  </sheetPr>
  <dimension ref="A1:T158"/>
  <sheetViews>
    <sheetView showGridLines="0" zoomScale="80" zoomScaleNormal="80" workbookViewId="0">
      <pane ySplit="6" topLeftCell="A7" activePane="bottomLeft" state="frozen"/>
      <selection activeCell="B75" sqref="A1:XFD1048576"/>
      <selection pane="bottomLeft" activeCell="A7" sqref="A7"/>
    </sheetView>
  </sheetViews>
  <sheetFormatPr defaultColWidth="9.125" defaultRowHeight="12.75"/>
  <cols>
    <col min="1" max="1" width="8.375" style="2" customWidth="1"/>
    <col min="2" max="2" width="75.5" style="128" customWidth="1"/>
    <col min="3" max="3" width="13.375" style="135" customWidth="1"/>
    <col min="4" max="11" width="11.125" style="2" customWidth="1"/>
    <col min="12" max="13" width="12.875" style="2" customWidth="1"/>
    <col min="14" max="14" width="25.5" style="2" customWidth="1"/>
    <col min="15" max="16384" width="9.125" style="2"/>
  </cols>
  <sheetData>
    <row r="1" spans="1:20" s="29" customFormat="1" ht="20.25">
      <c r="A1" s="900" t="s">
        <v>96</v>
      </c>
      <c r="B1" s="921"/>
      <c r="C1" s="276"/>
      <c r="D1" s="255"/>
      <c r="E1" s="255"/>
      <c r="F1" s="255"/>
      <c r="G1" s="255"/>
      <c r="H1" s="255"/>
      <c r="I1" s="256"/>
      <c r="J1" s="256"/>
      <c r="K1" s="257"/>
      <c r="L1" s="257"/>
      <c r="M1" s="257"/>
      <c r="N1" s="257"/>
      <c r="O1" s="354"/>
    </row>
    <row r="2" spans="1:20" s="29" customFormat="1" ht="20.25">
      <c r="A2" s="902" t="str">
        <f>'RFPR cover'!C5</f>
        <v>SPT</v>
      </c>
      <c r="B2" s="915"/>
      <c r="C2" s="133"/>
      <c r="D2" s="27"/>
      <c r="E2" s="27"/>
      <c r="F2" s="27"/>
      <c r="G2" s="27"/>
      <c r="H2" s="27"/>
      <c r="I2" s="25"/>
      <c r="J2" s="25"/>
      <c r="K2" s="25"/>
      <c r="L2" s="25"/>
      <c r="M2" s="25"/>
      <c r="N2" s="25"/>
      <c r="O2" s="122"/>
    </row>
    <row r="3" spans="1:20" s="29" customFormat="1" ht="20.25">
      <c r="A3" s="905">
        <f>'RFPR cover'!C7</f>
        <v>2020</v>
      </c>
      <c r="B3" s="916"/>
      <c r="C3" s="275"/>
      <c r="D3" s="259"/>
      <c r="E3" s="259"/>
      <c r="F3" s="259"/>
      <c r="G3" s="259"/>
      <c r="H3" s="259"/>
      <c r="I3" s="254"/>
      <c r="J3" s="254"/>
      <c r="K3" s="254"/>
      <c r="L3" s="254"/>
      <c r="M3" s="254"/>
      <c r="N3" s="254"/>
      <c r="O3" s="260"/>
    </row>
    <row r="4" spans="1:20" ht="12.75" customHeight="1"/>
    <row r="5" spans="1:20" ht="12.75" customHeight="1">
      <c r="D5" s="379" t="str">
        <f>IF(D6&lt;='RFPR cover'!$C$7,"Actuals","Forecast")</f>
        <v>Actuals</v>
      </c>
      <c r="E5" s="380" t="str">
        <f>IF(E6&lt;='RFPR cover'!$C$7,"Actuals","Forecast")</f>
        <v>Actuals</v>
      </c>
      <c r="F5" s="380" t="str">
        <f>IF(F6&lt;='RFPR cover'!$C$7,"Actuals","Forecast")</f>
        <v>Actuals</v>
      </c>
      <c r="G5" s="380" t="str">
        <f>IF(G6&lt;='RFPR cover'!$C$7,"Actuals","Forecast")</f>
        <v>Actuals</v>
      </c>
      <c r="H5" s="380" t="str">
        <f>IF(H6&lt;='RFPR cover'!$C$7,"Actuals","Forecast")</f>
        <v>Actuals</v>
      </c>
      <c r="I5" s="380" t="str">
        <f>IF(I6&lt;='RFPR cover'!$C$7,"Actuals","Forecast")</f>
        <v>Actuals</v>
      </c>
      <c r="J5" s="380" t="str">
        <f>IF(J6&lt;='RFPR cover'!$C$7,"Actuals","Forecast")</f>
        <v>Actuals</v>
      </c>
      <c r="K5" s="381" t="str">
        <f>IF(K6&lt;='RFPR cover'!$C$7,"Actuals","Forecast")</f>
        <v>Forecast</v>
      </c>
    </row>
    <row r="6" spans="1:20" ht="27.75" customHeight="1">
      <c r="B6" s="766"/>
      <c r="D6" s="116">
        <f>'RFPR cover'!$C$13</f>
        <v>2014</v>
      </c>
      <c r="E6" s="117">
        <f>D6+1</f>
        <v>2015</v>
      </c>
      <c r="F6" s="117">
        <f t="shared" ref="F6:K6" si="0">E6+1</f>
        <v>2016</v>
      </c>
      <c r="G6" s="117">
        <f t="shared" si="0"/>
        <v>2017</v>
      </c>
      <c r="H6" s="117">
        <f t="shared" si="0"/>
        <v>2018</v>
      </c>
      <c r="I6" s="117">
        <f t="shared" si="0"/>
        <v>2019</v>
      </c>
      <c r="J6" s="117">
        <f t="shared" si="0"/>
        <v>2020</v>
      </c>
      <c r="K6" s="117">
        <f t="shared" si="0"/>
        <v>2021</v>
      </c>
      <c r="L6" s="100" t="str">
        <f>"Cumulative to "&amp;'RFPR cover'!$C$7</f>
        <v>Cumulative to 2020</v>
      </c>
      <c r="M6" s="118" t="s">
        <v>106</v>
      </c>
      <c r="N6" s="118" t="s">
        <v>306</v>
      </c>
    </row>
    <row r="7" spans="1:20" s="33" customFormat="1">
      <c r="B7" s="767"/>
      <c r="C7" s="157"/>
      <c r="D7" s="56"/>
      <c r="E7" s="56"/>
      <c r="F7" s="56"/>
      <c r="G7" s="56"/>
      <c r="H7" s="56"/>
      <c r="I7" s="56"/>
      <c r="J7" s="56"/>
      <c r="K7" s="56"/>
      <c r="L7" s="56"/>
      <c r="M7" s="56"/>
      <c r="N7" s="56"/>
    </row>
    <row r="8" spans="1:20" s="33" customFormat="1">
      <c r="B8" s="768" t="s">
        <v>372</v>
      </c>
      <c r="C8" s="288"/>
      <c r="D8" s="315"/>
      <c r="E8" s="315"/>
      <c r="F8" s="315"/>
      <c r="G8" s="315"/>
      <c r="H8" s="315"/>
      <c r="I8" s="315"/>
      <c r="J8" s="315"/>
      <c r="K8" s="315"/>
      <c r="L8" s="315"/>
      <c r="M8" s="315"/>
      <c r="N8" s="315"/>
    </row>
    <row r="9" spans="1:20" s="33" customFormat="1">
      <c r="B9" s="767"/>
      <c r="C9" s="157"/>
      <c r="D9" s="56"/>
      <c r="E9" s="56"/>
      <c r="F9" s="56"/>
      <c r="G9" s="56"/>
      <c r="H9" s="56"/>
      <c r="I9" s="56"/>
      <c r="J9" s="56"/>
      <c r="K9" s="56"/>
      <c r="L9" s="56"/>
      <c r="M9" s="56"/>
      <c r="N9" s="56"/>
    </row>
    <row r="10" spans="1:20">
      <c r="A10" s="33"/>
      <c r="B10" s="769" t="str">
        <f>Data!B48</f>
        <v>Totex</v>
      </c>
      <c r="C10" s="149"/>
      <c r="D10" s="80"/>
      <c r="E10" s="80"/>
      <c r="F10" s="80"/>
      <c r="G10" s="80"/>
      <c r="H10" s="80"/>
      <c r="I10" s="80"/>
      <c r="J10" s="80"/>
      <c r="K10" s="80"/>
      <c r="L10" s="80"/>
      <c r="M10" s="80"/>
      <c r="N10" s="80"/>
    </row>
    <row r="11" spans="1:20" s="33" customFormat="1">
      <c r="B11" s="770"/>
      <c r="C11" s="137"/>
      <c r="D11" s="314"/>
      <c r="E11" s="314"/>
      <c r="F11" s="314"/>
      <c r="G11" s="314"/>
      <c r="H11" s="314"/>
      <c r="I11" s="314"/>
      <c r="J11" s="314"/>
      <c r="K11" s="314"/>
      <c r="L11" s="314"/>
      <c r="M11" s="314"/>
      <c r="N11" s="314"/>
    </row>
    <row r="12" spans="1:20">
      <c r="A12" s="33"/>
      <c r="B12" s="302" t="s">
        <v>32</v>
      </c>
      <c r="C12" s="154" t="str">
        <f>'RFPR cover'!$C$14</f>
        <v>£m 09/10</v>
      </c>
      <c r="D12" s="472">
        <v>205.20921065832212</v>
      </c>
      <c r="E12" s="473">
        <v>235.06152163123602</v>
      </c>
      <c r="F12" s="473">
        <v>295.50076733824585</v>
      </c>
      <c r="G12" s="473">
        <v>281.43956007419399</v>
      </c>
      <c r="H12" s="473">
        <v>187.42471031937222</v>
      </c>
      <c r="I12" s="473">
        <v>142.94224633737727</v>
      </c>
      <c r="J12" s="473">
        <v>151.83035423705365</v>
      </c>
      <c r="K12" s="473">
        <v>225.25310972594835</v>
      </c>
      <c r="L12" s="106">
        <f>SUM(D12:INDEX(D12:K12,0,MATCH('RFPR cover'!$C$7,$D$6:$K$6,0)))</f>
        <v>1499.4083705958012</v>
      </c>
      <c r="M12" s="107">
        <f>SUM(D12:K12)</f>
        <v>1724.6614803217497</v>
      </c>
      <c r="N12" s="61"/>
      <c r="O12" s="61"/>
    </row>
    <row r="13" spans="1:20" ht="25.5">
      <c r="A13" s="33"/>
      <c r="B13" s="771" t="s">
        <v>484</v>
      </c>
      <c r="C13" s="154" t="str">
        <f>'RFPR cover'!$C$14</f>
        <v>£m 09/10</v>
      </c>
      <c r="D13" s="474">
        <v>312.34545607660476</v>
      </c>
      <c r="E13" s="475">
        <v>391.51171203566685</v>
      </c>
      <c r="F13" s="475">
        <v>294.51880822061975</v>
      </c>
      <c r="G13" s="475">
        <v>147.41588999913489</v>
      </c>
      <c r="H13" s="475">
        <v>193.72616517241235</v>
      </c>
      <c r="I13" s="475">
        <v>210.72497193802246</v>
      </c>
      <c r="J13" s="475">
        <v>182.5768872740922</v>
      </c>
      <c r="K13" s="475">
        <v>98.339055661344347</v>
      </c>
      <c r="L13" s="104">
        <f>SUM(D13:INDEX(D13:K13,0,MATCH('RFPR cover'!$C$7,$D$6:$K$6,0)))</f>
        <v>1732.8198907165533</v>
      </c>
      <c r="M13" s="105">
        <f>SUM(D13:K13)</f>
        <v>1831.1589463778978</v>
      </c>
      <c r="N13" s="61"/>
      <c r="O13" s="61"/>
    </row>
    <row r="14" spans="1:20">
      <c r="A14" s="33"/>
      <c r="B14" s="772" t="s">
        <v>191</v>
      </c>
      <c r="C14" s="154" t="str">
        <f>'RFPR cover'!$C$14</f>
        <v>£m 09/10</v>
      </c>
      <c r="D14" s="101">
        <f>D13-D12</f>
        <v>107.13624541828264</v>
      </c>
      <c r="E14" s="102">
        <f t="shared" ref="E14:M14" si="1">E13-E12</f>
        <v>156.45019040443083</v>
      </c>
      <c r="F14" s="102">
        <f t="shared" si="1"/>
        <v>-0.98195911762610422</v>
      </c>
      <c r="G14" s="102">
        <f t="shared" si="1"/>
        <v>-134.0236700750591</v>
      </c>
      <c r="H14" s="102">
        <f t="shared" si="1"/>
        <v>6.3014548530401271</v>
      </c>
      <c r="I14" s="102">
        <f t="shared" si="1"/>
        <v>67.782725600645193</v>
      </c>
      <c r="J14" s="102">
        <f t="shared" si="1"/>
        <v>30.746533037038546</v>
      </c>
      <c r="K14" s="102">
        <f t="shared" si="1"/>
        <v>-126.914054064604</v>
      </c>
      <c r="L14" s="101">
        <f t="shared" si="1"/>
        <v>233.41152012075213</v>
      </c>
      <c r="M14" s="103">
        <f t="shared" si="1"/>
        <v>106.49746605614814</v>
      </c>
      <c r="N14" s="61"/>
      <c r="O14" s="992"/>
      <c r="P14" s="992"/>
      <c r="Q14" s="992"/>
      <c r="R14"/>
      <c r="S14"/>
      <c r="T14"/>
    </row>
    <row r="15" spans="1:20">
      <c r="A15" s="33"/>
      <c r="B15" s="772"/>
      <c r="C15" s="154"/>
      <c r="D15" s="57"/>
      <c r="E15" s="57"/>
      <c r="F15" s="57"/>
      <c r="G15" s="57"/>
      <c r="H15" s="57"/>
      <c r="I15" s="57"/>
      <c r="J15" s="57"/>
      <c r="K15" s="57"/>
      <c r="L15" s="57"/>
      <c r="M15" s="57"/>
      <c r="O15" s="62"/>
      <c r="P15" s="62"/>
      <c r="Q15" s="62"/>
      <c r="R15"/>
      <c r="S15"/>
      <c r="T15"/>
    </row>
    <row r="16" spans="1:20">
      <c r="A16" s="33"/>
      <c r="B16" s="766" t="s">
        <v>174</v>
      </c>
      <c r="C16" s="135" t="s">
        <v>7</v>
      </c>
      <c r="D16" s="108">
        <f>1-INDEX(Data!$D$73:$D$100,MATCH('RFPR cover'!$C$5,Data!$B$73:$B$100,0),0)</f>
        <v>0.5</v>
      </c>
      <c r="E16" s="109">
        <f>1-INDEX(Data!$D$73:$D$100,MATCH('RFPR cover'!$C$5,Data!$B$73:$B$100,0),0)</f>
        <v>0.5</v>
      </c>
      <c r="F16" s="109">
        <f>1-INDEX(Data!$D$73:$D$100,MATCH('RFPR cover'!$C$5,Data!$B$73:$B$100,0),0)</f>
        <v>0.5</v>
      </c>
      <c r="G16" s="109">
        <f>1-INDEX(Data!$D$73:$D$100,MATCH('RFPR cover'!$C$5,Data!$B$73:$B$100,0),0)</f>
        <v>0.5</v>
      </c>
      <c r="H16" s="109">
        <f>1-INDEX(Data!$D$73:$D$100,MATCH('RFPR cover'!$C$5,Data!$B$73:$B$100,0),0)</f>
        <v>0.5</v>
      </c>
      <c r="I16" s="109">
        <f>1-INDEX(Data!$D$73:$D$100,MATCH('RFPR cover'!$C$5,Data!$B$73:$B$100,0),0)</f>
        <v>0.5</v>
      </c>
      <c r="J16" s="109">
        <f>1-INDEX(Data!$D$73:$D$100,MATCH('RFPR cover'!$C$5,Data!$B$73:$B$100,0),0)</f>
        <v>0.5</v>
      </c>
      <c r="K16" s="110">
        <f>1-INDEX(Data!$D$73:$D$100,MATCH('RFPR cover'!$C$5,Data!$B$73:$B$100,0),0)</f>
        <v>0.5</v>
      </c>
      <c r="L16" s="60"/>
      <c r="M16" s="60"/>
      <c r="O16"/>
      <c r="P16"/>
      <c r="Q16"/>
      <c r="R16"/>
      <c r="S16"/>
      <c r="T16"/>
    </row>
    <row r="17" spans="1:20">
      <c r="A17" s="33"/>
      <c r="B17" s="766"/>
      <c r="O17"/>
      <c r="P17"/>
      <c r="Q17"/>
      <c r="R17"/>
      <c r="S17"/>
      <c r="T17"/>
    </row>
    <row r="18" spans="1:20">
      <c r="A18" s="33"/>
      <c r="B18" s="773" t="s">
        <v>179</v>
      </c>
      <c r="C18" s="158" t="str">
        <f>'RFPR cover'!$C$14</f>
        <v>£m 09/10</v>
      </c>
      <c r="D18" s="94">
        <f>D14*D16</f>
        <v>53.568122709141321</v>
      </c>
      <c r="E18" s="95">
        <f t="shared" ref="E18:K18" si="2">E14*E16</f>
        <v>78.225095202215414</v>
      </c>
      <c r="F18" s="95">
        <f t="shared" si="2"/>
        <v>-0.49097955881305211</v>
      </c>
      <c r="G18" s="95">
        <f t="shared" si="2"/>
        <v>-67.011835037529551</v>
      </c>
      <c r="H18" s="95">
        <f t="shared" si="2"/>
        <v>3.1507274265200635</v>
      </c>
      <c r="I18" s="95">
        <f t="shared" si="2"/>
        <v>33.891362800322597</v>
      </c>
      <c r="J18" s="95">
        <f t="shared" si="2"/>
        <v>15.373266518519273</v>
      </c>
      <c r="K18" s="95">
        <f t="shared" si="2"/>
        <v>-63.457027032302001</v>
      </c>
      <c r="L18" s="94">
        <f>SUM(D18:INDEX(D18:K18,0,MATCH('RFPR cover'!$C$7,$D$6:$K$6,0)))</f>
        <v>116.70576006037608</v>
      </c>
      <c r="M18" s="96">
        <f>SUM(D18:K18)</f>
        <v>53.248733028074078</v>
      </c>
      <c r="O18"/>
      <c r="P18"/>
      <c r="Q18"/>
      <c r="R18"/>
      <c r="S18"/>
      <c r="T18"/>
    </row>
    <row r="19" spans="1:20">
      <c r="A19" s="33"/>
      <c r="B19" s="773" t="s">
        <v>275</v>
      </c>
      <c r="C19" s="158" t="str">
        <f>'RFPR cover'!$C$14</f>
        <v>£m 09/10</v>
      </c>
      <c r="D19" s="91">
        <f>D14*(1-D16)</f>
        <v>53.568122709141321</v>
      </c>
      <c r="E19" s="92">
        <f t="shared" ref="E19:K19" si="3">E14*(1-E16)</f>
        <v>78.225095202215414</v>
      </c>
      <c r="F19" s="92">
        <f t="shared" si="3"/>
        <v>-0.49097955881305211</v>
      </c>
      <c r="G19" s="92">
        <f t="shared" si="3"/>
        <v>-67.011835037529551</v>
      </c>
      <c r="H19" s="92">
        <f t="shared" si="3"/>
        <v>3.1507274265200635</v>
      </c>
      <c r="I19" s="92">
        <f t="shared" si="3"/>
        <v>33.891362800322597</v>
      </c>
      <c r="J19" s="92">
        <f t="shared" si="3"/>
        <v>15.373266518519273</v>
      </c>
      <c r="K19" s="92">
        <f t="shared" si="3"/>
        <v>-63.457027032302001</v>
      </c>
      <c r="L19" s="91">
        <f>SUM(D19:INDEX(D19:K19,0,MATCH('RFPR cover'!$C$7,$D$6:$K$6,0)))</f>
        <v>116.70576006037608</v>
      </c>
      <c r="M19" s="93">
        <f>SUM(D19:K19)</f>
        <v>53.248733028074078</v>
      </c>
      <c r="O19"/>
      <c r="P19"/>
      <c r="Q19"/>
      <c r="R19"/>
      <c r="S19"/>
      <c r="T19"/>
    </row>
    <row r="20" spans="1:20">
      <c r="A20" s="33"/>
      <c r="B20" s="766"/>
      <c r="O20"/>
      <c r="P20"/>
      <c r="Q20"/>
      <c r="R20"/>
      <c r="S20"/>
      <c r="T20"/>
    </row>
    <row r="21" spans="1:20">
      <c r="A21" s="33"/>
      <c r="B21" s="774" t="s">
        <v>178</v>
      </c>
      <c r="N21" s="61"/>
      <c r="O21"/>
      <c r="P21"/>
      <c r="Q21"/>
      <c r="R21"/>
      <c r="S21"/>
      <c r="T21"/>
    </row>
    <row r="22" spans="1:20">
      <c r="A22" s="268" t="s">
        <v>148</v>
      </c>
      <c r="B22" s="764" t="s">
        <v>587</v>
      </c>
      <c r="C22" s="154" t="str">
        <f>'RFPR cover'!$C$14</f>
        <v>£m 09/10</v>
      </c>
      <c r="D22" s="572">
        <v>-17.551451452871127</v>
      </c>
      <c r="E22" s="573">
        <v>-50.155441987674408</v>
      </c>
      <c r="F22" s="573">
        <v>-20.354931811500023</v>
      </c>
      <c r="G22" s="573">
        <v>50.440190045827634</v>
      </c>
      <c r="H22" s="573">
        <v>21.940748987264367</v>
      </c>
      <c r="I22" s="573">
        <v>8.8904638259224438</v>
      </c>
      <c r="J22" s="573">
        <v>0.28929584848205336</v>
      </c>
      <c r="K22" s="573">
        <v>6.5011265445490558</v>
      </c>
      <c r="L22" s="574">
        <f>SUM(D22:INDEX(D22:K22,0,MATCH('RFPR cover'!$C$7,$D$6:$K$6,0)))</f>
        <v>-6.5011265445490665</v>
      </c>
      <c r="M22" s="575">
        <f t="shared" ref="M22:M27" si="4">SUM(D22:K22)</f>
        <v>-1.0658141036401503E-14</v>
      </c>
      <c r="N22" s="563" t="s">
        <v>588</v>
      </c>
      <c r="O22"/>
      <c r="P22"/>
      <c r="Q22"/>
      <c r="R22"/>
      <c r="S22"/>
      <c r="T22"/>
    </row>
    <row r="23" spans="1:20">
      <c r="A23" s="268" t="s">
        <v>149</v>
      </c>
      <c r="B23" s="764" t="s">
        <v>589</v>
      </c>
      <c r="C23" s="154" t="str">
        <f>'RFPR cover'!$C$14</f>
        <v>£m 09/10</v>
      </c>
      <c r="D23" s="576">
        <v>-18.548489812189011</v>
      </c>
      <c r="E23" s="577">
        <v>-13.663096899979266</v>
      </c>
      <c r="F23" s="577">
        <v>14.402027034200289</v>
      </c>
      <c r="G23" s="577">
        <v>13.645497192421372</v>
      </c>
      <c r="H23" s="577">
        <v>9.9910263502834482</v>
      </c>
      <c r="I23" s="577">
        <v>-2.4194801879606533</v>
      </c>
      <c r="J23" s="577">
        <v>-3.4671297447869298</v>
      </c>
      <c r="K23" s="577">
        <v>5.9646068010749786E-2</v>
      </c>
      <c r="L23" s="578">
        <f>SUM(D23:INDEX(D23:K23,0,MATCH('RFPR cover'!$C$7,$D$6:$K$6,0)))</f>
        <v>-5.9646068010752451E-2</v>
      </c>
      <c r="M23" s="579">
        <f t="shared" si="4"/>
        <v>-2.6645352591003757E-15</v>
      </c>
      <c r="N23" s="564"/>
      <c r="O23"/>
      <c r="P23"/>
      <c r="Q23"/>
      <c r="R23"/>
      <c r="S23"/>
      <c r="T23"/>
    </row>
    <row r="24" spans="1:20">
      <c r="A24" s="268" t="s">
        <v>150</v>
      </c>
      <c r="B24" s="764" t="s">
        <v>590</v>
      </c>
      <c r="C24" s="154" t="str">
        <f>'RFPR cover'!$C$14</f>
        <v>£m 09/10</v>
      </c>
      <c r="D24" s="576">
        <v>-50.645265307371837</v>
      </c>
      <c r="E24" s="577">
        <v>-46.929540940124809</v>
      </c>
      <c r="F24" s="577">
        <v>52.149003914607341</v>
      </c>
      <c r="G24" s="577">
        <v>78.079533486346236</v>
      </c>
      <c r="H24" s="577">
        <v>-12.909322207682262</v>
      </c>
      <c r="I24" s="577">
        <v>-49.871577428562858</v>
      </c>
      <c r="J24" s="577">
        <v>-29.505876769907815</v>
      </c>
      <c r="K24" s="577">
        <v>59.633045252696007</v>
      </c>
      <c r="L24" s="578">
        <f>SUM(D24:INDEX(D24:K24,0,MATCH('RFPR cover'!$C$7,$D$6:$K$6,0)))</f>
        <v>-59.633045252695993</v>
      </c>
      <c r="M24" s="579">
        <f t="shared" si="4"/>
        <v>0</v>
      </c>
      <c r="N24" s="564"/>
      <c r="O24"/>
      <c r="P24"/>
      <c r="Q24"/>
      <c r="R24"/>
      <c r="S24" s="63"/>
      <c r="T24"/>
    </row>
    <row r="25" spans="1:20">
      <c r="A25" s="268" t="s">
        <v>164</v>
      </c>
      <c r="B25" s="764" t="s">
        <v>591</v>
      </c>
      <c r="C25" s="154" t="str">
        <f>'RFPR cover'!$C$14</f>
        <v>£m 09/10</v>
      </c>
      <c r="D25" s="576">
        <v>-7.6881200856206622</v>
      </c>
      <c r="E25" s="577">
        <v>-6.3784875600282467</v>
      </c>
      <c r="F25" s="577">
        <v>2.7428496431916329</v>
      </c>
      <c r="G25" s="577">
        <v>2.8728177579879706</v>
      </c>
      <c r="H25" s="577">
        <v>5.0188067739421527E-2</v>
      </c>
      <c r="I25" s="577">
        <v>-7.6383777290275505</v>
      </c>
      <c r="J25" s="577">
        <v>1.6202327287273226</v>
      </c>
      <c r="K25" s="577">
        <v>6.9067347966460098</v>
      </c>
      <c r="L25" s="578">
        <f>SUM(D25:INDEX(D25:K25,0,MATCH('RFPR cover'!$C$7,$D$6:$K$6,0)))</f>
        <v>-14.418897177030111</v>
      </c>
      <c r="M25" s="579">
        <f t="shared" si="4"/>
        <v>-7.5121623803841011</v>
      </c>
      <c r="N25" s="564" t="s">
        <v>592</v>
      </c>
      <c r="O25"/>
      <c r="P25"/>
      <c r="Q25"/>
      <c r="R25"/>
      <c r="S25"/>
      <c r="T25"/>
    </row>
    <row r="26" spans="1:20">
      <c r="A26" s="268" t="s">
        <v>165</v>
      </c>
      <c r="B26" s="764" t="s">
        <v>593</v>
      </c>
      <c r="C26" s="154" t="str">
        <f>'RFPR cover'!$C$14</f>
        <v>£m 09/10</v>
      </c>
      <c r="D26" s="576">
        <v>-1.9534482360999164</v>
      </c>
      <c r="E26" s="577">
        <v>-10.289242668894332</v>
      </c>
      <c r="F26" s="577">
        <v>-3.8920435538409848</v>
      </c>
      <c r="G26" s="577">
        <v>13.843963922285099</v>
      </c>
      <c r="H26" s="577">
        <v>5.5334391618126411</v>
      </c>
      <c r="I26" s="577">
        <v>0.81993518139825738</v>
      </c>
      <c r="J26" s="577">
        <v>-7.1668971358376403</v>
      </c>
      <c r="K26" s="577">
        <v>3.1042933291769401</v>
      </c>
      <c r="L26" s="578">
        <f>SUM(D26:INDEX(D26:K26,0,MATCH('RFPR cover'!$C$7,$D$6:$K$6,0)))</f>
        <v>-3.1042933291768762</v>
      </c>
      <c r="M26" s="579">
        <f t="shared" si="4"/>
        <v>6.3948846218409017E-14</v>
      </c>
      <c r="N26" s="564"/>
      <c r="O26"/>
      <c r="P26"/>
      <c r="Q26"/>
      <c r="R26"/>
      <c r="S26"/>
      <c r="T26"/>
    </row>
    <row r="27" spans="1:20">
      <c r="A27" s="268" t="s">
        <v>166</v>
      </c>
      <c r="B27" s="764" t="s">
        <v>594</v>
      </c>
      <c r="C27" s="154" t="str">
        <f>'RFPR cover'!$C$14</f>
        <v>£m 09/10</v>
      </c>
      <c r="D27" s="580">
        <v>30.139039132181267</v>
      </c>
      <c r="E27" s="581">
        <v>17.724596120807838</v>
      </c>
      <c r="F27" s="581">
        <v>-14.343965486039796</v>
      </c>
      <c r="G27" s="581">
        <v>1.0707624187046108</v>
      </c>
      <c r="H27" s="581">
        <v>-13.122462569658083</v>
      </c>
      <c r="I27" s="581">
        <v>-18.242476741613331</v>
      </c>
      <c r="J27" s="581">
        <v>-24.226210050891872</v>
      </c>
      <c r="K27" s="581">
        <v>21.000717176509376</v>
      </c>
      <c r="L27" s="582">
        <f>SUM(D27:INDEX(D27:K27,0,MATCH('RFPR cover'!$C$7,$D$6:$K$6,0)))</f>
        <v>-21.000717176509369</v>
      </c>
      <c r="M27" s="583">
        <f t="shared" si="4"/>
        <v>0</v>
      </c>
      <c r="N27" s="565"/>
      <c r="O27"/>
      <c r="P27"/>
      <c r="Q27"/>
      <c r="R27"/>
      <c r="S27"/>
      <c r="T27"/>
    </row>
    <row r="28" spans="1:20">
      <c r="A28" s="268" t="s">
        <v>461</v>
      </c>
      <c r="B28" s="764" t="s">
        <v>595</v>
      </c>
      <c r="C28" s="154" t="str">
        <f>'RFPR cover'!$C$14</f>
        <v>£m 09/10</v>
      </c>
      <c r="D28" s="580">
        <v>-9.3945935992311238</v>
      </c>
      <c r="E28" s="581">
        <v>-8.555107502110884</v>
      </c>
      <c r="F28" s="581">
        <v>-4.1863729858578349</v>
      </c>
      <c r="G28" s="581">
        <v>-10.25798550212107</v>
      </c>
      <c r="H28" s="581">
        <v>-12.600214000463264</v>
      </c>
      <c r="I28" s="581">
        <v>1.1320103233677459</v>
      </c>
      <c r="J28" s="581">
        <v>17.988857404254123</v>
      </c>
      <c r="K28" s="581">
        <v>25.873405862162304</v>
      </c>
      <c r="L28" s="582">
        <f>SUM(D28:INDEX(D28:K28,0,MATCH('RFPR cover'!$C$7,$D$6:$K$6,0)))</f>
        <v>-25.873405862162318</v>
      </c>
      <c r="M28" s="583">
        <f t="shared" ref="M28:M29" si="5">SUM(D28:K28)</f>
        <v>0</v>
      </c>
      <c r="N28" s="565"/>
      <c r="O28"/>
      <c r="P28"/>
      <c r="Q28"/>
      <c r="R28"/>
      <c r="S28"/>
      <c r="T28"/>
    </row>
    <row r="29" spans="1:20">
      <c r="A29" s="268" t="s">
        <v>559</v>
      </c>
      <c r="B29" s="764" t="s">
        <v>596</v>
      </c>
      <c r="C29" s="154" t="str">
        <f>'RFPR cover'!$C$14</f>
        <v>£m 09/10</v>
      </c>
      <c r="D29" s="580">
        <v>-1.9650051349562547</v>
      </c>
      <c r="E29" s="581">
        <v>-2.0197945280142209</v>
      </c>
      <c r="F29" s="581">
        <v>-0.77292728117230525</v>
      </c>
      <c r="G29" s="581">
        <v>-1.0869881455748764</v>
      </c>
      <c r="H29" s="581">
        <v>-4.9066640502098036</v>
      </c>
      <c r="I29" s="581">
        <v>-0.64443236049978969</v>
      </c>
      <c r="J29" s="581">
        <v>6.9864860130280499</v>
      </c>
      <c r="K29" s="581">
        <v>4.4093254873992009</v>
      </c>
      <c r="L29" s="582">
        <f>SUM(D29:INDEX(D29:K29,0,MATCH('RFPR cover'!$C$7,$D$6:$K$6,0)))</f>
        <v>-4.4093254873992018</v>
      </c>
      <c r="M29" s="583">
        <f t="shared" si="5"/>
        <v>0</v>
      </c>
      <c r="N29" s="565"/>
      <c r="O29"/>
      <c r="P29"/>
      <c r="Q29"/>
      <c r="R29"/>
      <c r="S29"/>
      <c r="T29"/>
    </row>
    <row r="30" spans="1:20">
      <c r="A30" s="33"/>
      <c r="B30" s="774" t="s">
        <v>186</v>
      </c>
      <c r="C30" s="154" t="str">
        <f>'RFPR cover'!$C$14</f>
        <v>£m 09/10</v>
      </c>
      <c r="D30" s="101">
        <f>SUM(D22:D29)</f>
        <v>-77.607334496158686</v>
      </c>
      <c r="E30" s="102">
        <f t="shared" ref="E30:K30" si="6">SUM(E22:E29)</f>
        <v>-120.26611596601832</v>
      </c>
      <c r="F30" s="102">
        <f t="shared" si="6"/>
        <v>25.74363947358832</v>
      </c>
      <c r="G30" s="102">
        <f t="shared" si="6"/>
        <v>148.607791175877</v>
      </c>
      <c r="H30" s="102">
        <f t="shared" si="6"/>
        <v>-6.0232602609135366</v>
      </c>
      <c r="I30" s="102">
        <f t="shared" si="6"/>
        <v>-67.973935116975724</v>
      </c>
      <c r="J30" s="102">
        <f t="shared" si="6"/>
        <v>-37.4812417069327</v>
      </c>
      <c r="K30" s="102">
        <f t="shared" si="6"/>
        <v>127.48829451714964</v>
      </c>
      <c r="L30" s="101">
        <f>SUM(D30:INDEX(D30:K30,0,MATCH('RFPR cover'!$C$7,$D$6:$K$6,0)))</f>
        <v>-135.00045689753364</v>
      </c>
      <c r="M30" s="103">
        <f>SUM(D30:K30)</f>
        <v>-7.5121623803839981</v>
      </c>
      <c r="N30" s="61"/>
    </row>
    <row r="31" spans="1:20">
      <c r="A31" s="33"/>
      <c r="B31" s="766"/>
    </row>
    <row r="32" spans="1:20">
      <c r="A32" s="33"/>
      <c r="B32" s="773" t="s">
        <v>194</v>
      </c>
      <c r="C32" s="158" t="str">
        <f>'RFPR cover'!$C$14</f>
        <v>£m 09/10</v>
      </c>
      <c r="D32" s="94">
        <f t="shared" ref="D32:K32" si="7">D30*D16</f>
        <v>-38.803667248079343</v>
      </c>
      <c r="E32" s="95">
        <f t="shared" si="7"/>
        <v>-60.133057983009159</v>
      </c>
      <c r="F32" s="95">
        <f t="shared" si="7"/>
        <v>12.87181973679416</v>
      </c>
      <c r="G32" s="95">
        <f t="shared" si="7"/>
        <v>74.303895587938499</v>
      </c>
      <c r="H32" s="95">
        <f t="shared" si="7"/>
        <v>-3.0116301304567683</v>
      </c>
      <c r="I32" s="95">
        <f t="shared" si="7"/>
        <v>-33.986967558487862</v>
      </c>
      <c r="J32" s="95">
        <f t="shared" si="7"/>
        <v>-18.74062085346635</v>
      </c>
      <c r="K32" s="95">
        <f t="shared" si="7"/>
        <v>63.74414725857482</v>
      </c>
      <c r="L32" s="94">
        <f>SUM(D32:INDEX(D32:K32,0,MATCH('RFPR cover'!$C$7,$D$6:$K$6,0)))</f>
        <v>-67.500228448766819</v>
      </c>
      <c r="M32" s="96">
        <f>SUM(D32:K32)</f>
        <v>-3.756081190191999</v>
      </c>
    </row>
    <row r="33" spans="1:20">
      <c r="A33" s="33"/>
      <c r="B33" s="773" t="s">
        <v>304</v>
      </c>
      <c r="C33" s="158" t="str">
        <f>'RFPR cover'!$C$14</f>
        <v>£m 09/10</v>
      </c>
      <c r="D33" s="91">
        <f t="shared" ref="D33:K33" si="8">D30*(1-D16)</f>
        <v>-38.803667248079343</v>
      </c>
      <c r="E33" s="92">
        <f t="shared" si="8"/>
        <v>-60.133057983009159</v>
      </c>
      <c r="F33" s="92">
        <f t="shared" si="8"/>
        <v>12.87181973679416</v>
      </c>
      <c r="G33" s="92">
        <f t="shared" si="8"/>
        <v>74.303895587938499</v>
      </c>
      <c r="H33" s="92">
        <f t="shared" si="8"/>
        <v>-3.0116301304567683</v>
      </c>
      <c r="I33" s="92">
        <f t="shared" si="8"/>
        <v>-33.986967558487862</v>
      </c>
      <c r="J33" s="92">
        <f t="shared" si="8"/>
        <v>-18.74062085346635</v>
      </c>
      <c r="K33" s="92">
        <f t="shared" si="8"/>
        <v>63.74414725857482</v>
      </c>
      <c r="L33" s="91">
        <f>SUM(D33:INDEX(D33:K33,0,MATCH('RFPR cover'!$C$7,$D$6:$K$6,0)))</f>
        <v>-67.500228448766819</v>
      </c>
      <c r="M33" s="93">
        <f>SUM(D33:K33)</f>
        <v>-3.756081190191999</v>
      </c>
    </row>
    <row r="34" spans="1:20">
      <c r="A34" s="33"/>
      <c r="B34" s="766"/>
    </row>
    <row r="35" spans="1:20">
      <c r="A35" s="33"/>
      <c r="B35" s="774" t="s">
        <v>177</v>
      </c>
    </row>
    <row r="36" spans="1:20">
      <c r="A36" s="33"/>
      <c r="B36" s="766" t="s">
        <v>176</v>
      </c>
      <c r="C36" s="154" t="str">
        <f>'RFPR cover'!$C$14</f>
        <v>£m 09/10</v>
      </c>
      <c r="D36" s="94">
        <f>D18+D32</f>
        <v>14.764455461061978</v>
      </c>
      <c r="E36" s="95">
        <f t="shared" ref="E36:K36" si="9">E18+E32</f>
        <v>18.092037219206254</v>
      </c>
      <c r="F36" s="95">
        <f t="shared" si="9"/>
        <v>12.380840177981108</v>
      </c>
      <c r="G36" s="95">
        <f t="shared" si="9"/>
        <v>7.292060550408948</v>
      </c>
      <c r="H36" s="95">
        <f t="shared" si="9"/>
        <v>0.13909729606329524</v>
      </c>
      <c r="I36" s="95">
        <f t="shared" si="9"/>
        <v>-9.560475816526548E-2</v>
      </c>
      <c r="J36" s="95">
        <f t="shared" si="9"/>
        <v>-3.3673543349470769</v>
      </c>
      <c r="K36" s="95">
        <f t="shared" si="9"/>
        <v>0.28712022627281897</v>
      </c>
      <c r="L36" s="94">
        <f>SUM(D36:INDEX(D36:K36,0,MATCH('RFPR cover'!$C$7,$D$6:$K$6,0)))</f>
        <v>49.205531611609246</v>
      </c>
      <c r="M36" s="96">
        <f>SUM(D36:K36)</f>
        <v>49.492651837882065</v>
      </c>
    </row>
    <row r="37" spans="1:20">
      <c r="A37" s="33"/>
      <c r="B37" s="766" t="s">
        <v>275</v>
      </c>
      <c r="C37" s="154" t="str">
        <f>'RFPR cover'!$C$14</f>
        <v>£m 09/10</v>
      </c>
      <c r="D37" s="97">
        <f>D19+D33</f>
        <v>14.764455461061978</v>
      </c>
      <c r="E37" s="98">
        <f t="shared" ref="E37:K37" si="10">E19+E33</f>
        <v>18.092037219206254</v>
      </c>
      <c r="F37" s="98">
        <f t="shared" si="10"/>
        <v>12.380840177981108</v>
      </c>
      <c r="G37" s="98">
        <f t="shared" si="10"/>
        <v>7.292060550408948</v>
      </c>
      <c r="H37" s="98">
        <f t="shared" si="10"/>
        <v>0.13909729606329524</v>
      </c>
      <c r="I37" s="98">
        <f t="shared" si="10"/>
        <v>-9.560475816526548E-2</v>
      </c>
      <c r="J37" s="98">
        <f t="shared" si="10"/>
        <v>-3.3673543349470769</v>
      </c>
      <c r="K37" s="98">
        <f t="shared" si="10"/>
        <v>0.28712022627281897</v>
      </c>
      <c r="L37" s="97">
        <f>SUM(D37:INDEX(D37:K37,0,MATCH('RFPR cover'!$C$7,$D$6:$K$6,0)))</f>
        <v>49.205531611609246</v>
      </c>
      <c r="M37" s="99">
        <f>SUM(D37:K37)</f>
        <v>49.492651837882065</v>
      </c>
    </row>
    <row r="38" spans="1:20">
      <c r="A38" s="33"/>
      <c r="B38" s="774" t="s">
        <v>11</v>
      </c>
      <c r="C38" s="155" t="str">
        <f>'RFPR cover'!$C$14</f>
        <v>£m 09/10</v>
      </c>
      <c r="D38" s="138">
        <f>SUM(D36:D37)</f>
        <v>29.528910922123956</v>
      </c>
      <c r="E38" s="139">
        <f t="shared" ref="E38:K38" si="11">SUM(E36:E37)</f>
        <v>36.184074438412509</v>
      </c>
      <c r="F38" s="139">
        <f t="shared" si="11"/>
        <v>24.761680355962216</v>
      </c>
      <c r="G38" s="139">
        <f t="shared" si="11"/>
        <v>14.584121100817896</v>
      </c>
      <c r="H38" s="139">
        <f t="shared" si="11"/>
        <v>0.27819459212659048</v>
      </c>
      <c r="I38" s="139">
        <f t="shared" si="11"/>
        <v>-0.19120951633053096</v>
      </c>
      <c r="J38" s="139">
        <f t="shared" si="11"/>
        <v>-6.7347086698941538</v>
      </c>
      <c r="K38" s="139">
        <f t="shared" si="11"/>
        <v>0.57424045254563794</v>
      </c>
      <c r="L38" s="138">
        <f>SUM(D38:INDEX(D38:K38,0,MATCH('RFPR cover'!$C$7,$D$6:$K$6,0)))</f>
        <v>98.411063223218491</v>
      </c>
      <c r="M38" s="140">
        <f>SUM(D38:K38)</f>
        <v>98.985303675764129</v>
      </c>
    </row>
    <row r="39" spans="1:20">
      <c r="A39" s="33"/>
      <c r="B39" s="766"/>
    </row>
    <row r="40" spans="1:20">
      <c r="A40" s="33"/>
      <c r="B40" s="769" t="str">
        <f>Data!B51</f>
        <v>n/a</v>
      </c>
      <c r="C40" s="149"/>
      <c r="D40" s="80"/>
      <c r="E40" s="80"/>
      <c r="F40" s="80"/>
      <c r="G40" s="80"/>
      <c r="H40" s="80"/>
      <c r="I40" s="80"/>
      <c r="J40" s="80"/>
      <c r="K40" s="80"/>
      <c r="L40" s="80"/>
      <c r="M40" s="80"/>
      <c r="N40" s="80"/>
    </row>
    <row r="41" spans="1:20" s="33" customFormat="1">
      <c r="B41" s="767"/>
      <c r="C41" s="137"/>
      <c r="D41" s="314"/>
      <c r="E41" s="314"/>
      <c r="F41" s="314"/>
      <c r="G41" s="314"/>
      <c r="H41" s="314"/>
      <c r="I41" s="314"/>
      <c r="J41" s="314"/>
      <c r="K41" s="314"/>
      <c r="L41" s="314"/>
      <c r="M41" s="314"/>
      <c r="N41" s="314"/>
    </row>
    <row r="42" spans="1:20">
      <c r="A42" s="33"/>
      <c r="B42" s="302" t="s">
        <v>32</v>
      </c>
      <c r="C42" s="154" t="str">
        <f>'RFPR cover'!$C$14</f>
        <v>£m 09/10</v>
      </c>
      <c r="D42" s="639"/>
      <c r="E42" s="640"/>
      <c r="F42" s="640"/>
      <c r="G42" s="640"/>
      <c r="H42" s="640"/>
      <c r="I42" s="640"/>
      <c r="J42" s="640"/>
      <c r="K42" s="640"/>
      <c r="L42" s="641">
        <f>SUM(D42:INDEX(D42:K42,0,MATCH('RFPR cover'!$C$7,$D$6:$K$6,0)))</f>
        <v>0</v>
      </c>
      <c r="M42" s="642">
        <f>SUM(D42:K42)</f>
        <v>0</v>
      </c>
      <c r="N42" s="342"/>
      <c r="O42" s="61"/>
    </row>
    <row r="43" spans="1:20" ht="25.5">
      <c r="A43" s="33"/>
      <c r="B43" s="771" t="s">
        <v>484</v>
      </c>
      <c r="C43" s="154" t="str">
        <f>'RFPR cover'!$C$14</f>
        <v>£m 09/10</v>
      </c>
      <c r="D43" s="643"/>
      <c r="E43" s="644"/>
      <c r="F43" s="644"/>
      <c r="G43" s="644"/>
      <c r="H43" s="644"/>
      <c r="I43" s="644"/>
      <c r="J43" s="644"/>
      <c r="K43" s="644"/>
      <c r="L43" s="645">
        <f>SUM(D43:INDEX(D43:K43,0,MATCH('RFPR cover'!$C$7,$D$6:$K$6,0)))</f>
        <v>0</v>
      </c>
      <c r="M43" s="646">
        <f>SUM(D43:K43)</f>
        <v>0</v>
      </c>
      <c r="N43" s="342"/>
      <c r="O43" s="61"/>
    </row>
    <row r="44" spans="1:20">
      <c r="A44" s="33"/>
      <c r="B44" s="772" t="s">
        <v>191</v>
      </c>
      <c r="C44" s="154" t="str">
        <f>'RFPR cover'!$C$14</f>
        <v>£m 09/10</v>
      </c>
      <c r="D44" s="101">
        <f>D43-D42</f>
        <v>0</v>
      </c>
      <c r="E44" s="102">
        <f t="shared" ref="E44:M44" si="12">E43-E42</f>
        <v>0</v>
      </c>
      <c r="F44" s="102">
        <f t="shared" si="12"/>
        <v>0</v>
      </c>
      <c r="G44" s="102">
        <f t="shared" si="12"/>
        <v>0</v>
      </c>
      <c r="H44" s="102">
        <f t="shared" si="12"/>
        <v>0</v>
      </c>
      <c r="I44" s="102">
        <f t="shared" si="12"/>
        <v>0</v>
      </c>
      <c r="J44" s="102">
        <f t="shared" si="12"/>
        <v>0</v>
      </c>
      <c r="K44" s="102">
        <f t="shared" si="12"/>
        <v>0</v>
      </c>
      <c r="L44" s="345">
        <f t="shared" si="12"/>
        <v>0</v>
      </c>
      <c r="M44" s="346">
        <f t="shared" si="12"/>
        <v>0</v>
      </c>
      <c r="N44" s="343"/>
      <c r="O44" s="992"/>
      <c r="P44" s="992"/>
      <c r="Q44" s="992"/>
      <c r="R44"/>
      <c r="S44"/>
      <c r="T44"/>
    </row>
    <row r="45" spans="1:20">
      <c r="A45" s="33"/>
      <c r="B45" s="772"/>
      <c r="C45" s="154"/>
      <c r="D45" s="57"/>
      <c r="E45" s="57"/>
      <c r="F45" s="57"/>
      <c r="G45" s="57"/>
      <c r="H45" s="57"/>
      <c r="I45" s="57"/>
      <c r="J45" s="57"/>
      <c r="K45" s="57"/>
      <c r="L45" s="57"/>
      <c r="M45" s="57"/>
      <c r="N45" s="339"/>
      <c r="O45" s="62"/>
      <c r="P45" s="62"/>
      <c r="Q45" s="62"/>
      <c r="R45"/>
      <c r="S45"/>
      <c r="T45"/>
    </row>
    <row r="46" spans="1:20">
      <c r="A46" s="33"/>
      <c r="B46" s="766" t="s">
        <v>174</v>
      </c>
      <c r="C46" s="135" t="s">
        <v>7</v>
      </c>
      <c r="D46" s="108">
        <f>1-INDEX(Data!$D$73:$D$100,MATCH('RFPR cover'!$C$5,Data!$B$73:$B$100,0),0)</f>
        <v>0.5</v>
      </c>
      <c r="E46" s="109">
        <f>1-INDEX(Data!$D$73:$D$100,MATCH('RFPR cover'!$C$5,Data!$B$73:$B$100,0),0)</f>
        <v>0.5</v>
      </c>
      <c r="F46" s="109">
        <f>1-INDEX(Data!$D$73:$D$100,MATCH('RFPR cover'!$C$5,Data!$B$73:$B$100,0),0)</f>
        <v>0.5</v>
      </c>
      <c r="G46" s="109">
        <f>1-INDEX(Data!$D$73:$D$100,MATCH('RFPR cover'!$C$5,Data!$B$73:$B$100,0),0)</f>
        <v>0.5</v>
      </c>
      <c r="H46" s="109">
        <f>1-INDEX(Data!$D$73:$D$100,MATCH('RFPR cover'!$C$5,Data!$B$73:$B$100,0),0)</f>
        <v>0.5</v>
      </c>
      <c r="I46" s="109">
        <f>1-INDEX(Data!$D$73:$D$100,MATCH('RFPR cover'!$C$5,Data!$B$73:$B$100,0),0)</f>
        <v>0.5</v>
      </c>
      <c r="J46" s="109">
        <f>1-INDEX(Data!$D$73:$D$100,MATCH('RFPR cover'!$C$5,Data!$B$73:$B$100,0),0)</f>
        <v>0.5</v>
      </c>
      <c r="K46" s="110">
        <f>1-INDEX(Data!$D$73:$D$100,MATCH('RFPR cover'!$C$5,Data!$B$73:$B$100,0),0)</f>
        <v>0.5</v>
      </c>
      <c r="L46" s="60"/>
      <c r="M46" s="60"/>
      <c r="N46" s="340"/>
      <c r="O46"/>
      <c r="P46"/>
      <c r="Q46"/>
      <c r="R46"/>
      <c r="S46"/>
      <c r="T46"/>
    </row>
    <row r="47" spans="1:20">
      <c r="A47" s="33"/>
      <c r="B47" s="766"/>
      <c r="N47" s="341"/>
      <c r="O47"/>
      <c r="P47"/>
      <c r="Q47"/>
      <c r="R47"/>
      <c r="S47"/>
      <c r="T47"/>
    </row>
    <row r="48" spans="1:20">
      <c r="A48" s="33"/>
      <c r="B48" s="773" t="s">
        <v>179</v>
      </c>
      <c r="C48" s="158" t="str">
        <f>'RFPR cover'!$C$14</f>
        <v>£m 09/10</v>
      </c>
      <c r="D48" s="94">
        <f>D44*D46</f>
        <v>0</v>
      </c>
      <c r="E48" s="95">
        <f t="shared" ref="E48:K48" si="13">E44*E46</f>
        <v>0</v>
      </c>
      <c r="F48" s="95">
        <f t="shared" si="13"/>
        <v>0</v>
      </c>
      <c r="G48" s="95">
        <f t="shared" si="13"/>
        <v>0</v>
      </c>
      <c r="H48" s="95">
        <f t="shared" si="13"/>
        <v>0</v>
      </c>
      <c r="I48" s="95">
        <f t="shared" si="13"/>
        <v>0</v>
      </c>
      <c r="J48" s="95">
        <f t="shared" si="13"/>
        <v>0</v>
      </c>
      <c r="K48" s="95">
        <f t="shared" si="13"/>
        <v>0</v>
      </c>
      <c r="L48" s="347">
        <f>SUM(D48:INDEX(D48:K48,0,MATCH('RFPR cover'!$C$7,$D$6:$K$6,0)))</f>
        <v>0</v>
      </c>
      <c r="M48" s="566">
        <f>SUM(D48:K48)</f>
        <v>0</v>
      </c>
      <c r="N48" s="343"/>
      <c r="O48"/>
      <c r="P48"/>
      <c r="Q48"/>
      <c r="R48"/>
      <c r="S48"/>
      <c r="T48"/>
    </row>
    <row r="49" spans="1:20">
      <c r="A49" s="33"/>
      <c r="B49" s="773" t="s">
        <v>275</v>
      </c>
      <c r="C49" s="158" t="str">
        <f>'RFPR cover'!$C$14</f>
        <v>£m 09/10</v>
      </c>
      <c r="D49" s="568">
        <f>D44*(1-D46)</f>
        <v>0</v>
      </c>
      <c r="E49" s="569">
        <f t="shared" ref="E49:K49" si="14">E44*(1-E46)</f>
        <v>0</v>
      </c>
      <c r="F49" s="569">
        <f t="shared" si="14"/>
        <v>0</v>
      </c>
      <c r="G49" s="569">
        <f t="shared" si="14"/>
        <v>0</v>
      </c>
      <c r="H49" s="569">
        <f t="shared" si="14"/>
        <v>0</v>
      </c>
      <c r="I49" s="569">
        <f t="shared" si="14"/>
        <v>0</v>
      </c>
      <c r="J49" s="569">
        <f t="shared" si="14"/>
        <v>0</v>
      </c>
      <c r="K49" s="569">
        <f t="shared" si="14"/>
        <v>0</v>
      </c>
      <c r="L49" s="570">
        <f>SUM(D49:INDEX(D49:K49,0,MATCH('RFPR cover'!$C$7,$D$6:$K$6,0)))</f>
        <v>0</v>
      </c>
      <c r="M49" s="571">
        <f>SUM(D49:K49)</f>
        <v>0</v>
      </c>
      <c r="N49" s="343"/>
      <c r="O49"/>
      <c r="P49"/>
      <c r="Q49"/>
      <c r="R49"/>
      <c r="S49"/>
      <c r="T49"/>
    </row>
    <row r="50" spans="1:20">
      <c r="A50" s="33"/>
      <c r="B50" s="766"/>
      <c r="N50" s="341"/>
      <c r="O50"/>
      <c r="P50"/>
      <c r="Q50"/>
      <c r="R50"/>
      <c r="S50"/>
      <c r="T50"/>
    </row>
    <row r="51" spans="1:20">
      <c r="A51" s="33"/>
      <c r="B51" s="774" t="s">
        <v>178</v>
      </c>
      <c r="N51" s="341"/>
      <c r="O51"/>
      <c r="P51"/>
      <c r="Q51"/>
      <c r="R51"/>
      <c r="S51"/>
      <c r="T51"/>
    </row>
    <row r="52" spans="1:20">
      <c r="A52" s="268" t="s">
        <v>148</v>
      </c>
      <c r="B52" s="764" t="s">
        <v>238</v>
      </c>
      <c r="C52" s="154" t="str">
        <f>'RFPR cover'!$C$14</f>
        <v>£m 09/10</v>
      </c>
      <c r="D52" s="572"/>
      <c r="E52" s="573"/>
      <c r="F52" s="573"/>
      <c r="G52" s="573"/>
      <c r="H52" s="573"/>
      <c r="I52" s="573"/>
      <c r="J52" s="573"/>
      <c r="K52" s="573"/>
      <c r="L52" s="647">
        <f>SUM(D52:INDEX(D52:K52,0,MATCH('RFPR cover'!$C$7,$D$6:$K$6,0)))</f>
        <v>0</v>
      </c>
      <c r="M52" s="648">
        <f t="shared" ref="M52:M58" si="15">SUM(D52:K52)</f>
        <v>0</v>
      </c>
      <c r="N52" s="563"/>
      <c r="O52"/>
      <c r="P52"/>
      <c r="Q52"/>
      <c r="R52"/>
      <c r="S52"/>
      <c r="T52"/>
    </row>
    <row r="53" spans="1:20">
      <c r="A53" s="268" t="s">
        <v>149</v>
      </c>
      <c r="B53" s="764" t="s">
        <v>238</v>
      </c>
      <c r="C53" s="154" t="str">
        <f>'RFPR cover'!$C$14</f>
        <v>£m 09/10</v>
      </c>
      <c r="D53" s="576"/>
      <c r="E53" s="577"/>
      <c r="F53" s="577"/>
      <c r="G53" s="577"/>
      <c r="H53" s="577"/>
      <c r="I53" s="577"/>
      <c r="J53" s="577"/>
      <c r="K53" s="577"/>
      <c r="L53" s="649">
        <f>SUM(D53:INDEX(D53:K53,0,MATCH('RFPR cover'!$C$7,$D$6:$K$6,0)))</f>
        <v>0</v>
      </c>
      <c r="M53" s="650">
        <f t="shared" si="15"/>
        <v>0</v>
      </c>
      <c r="N53" s="564"/>
      <c r="O53"/>
      <c r="P53"/>
      <c r="Q53"/>
      <c r="R53"/>
      <c r="S53"/>
      <c r="T53"/>
    </row>
    <row r="54" spans="1:20">
      <c r="A54" s="268" t="s">
        <v>150</v>
      </c>
      <c r="B54" s="764" t="s">
        <v>238</v>
      </c>
      <c r="C54" s="154" t="str">
        <f>'RFPR cover'!$C$14</f>
        <v>£m 09/10</v>
      </c>
      <c r="D54" s="576"/>
      <c r="E54" s="577"/>
      <c r="F54" s="577"/>
      <c r="G54" s="577"/>
      <c r="H54" s="577"/>
      <c r="I54" s="577"/>
      <c r="J54" s="577"/>
      <c r="K54" s="577"/>
      <c r="L54" s="649">
        <f>SUM(D54:INDEX(D54:K54,0,MATCH('RFPR cover'!$C$7,$D$6:$K$6,0)))</f>
        <v>0</v>
      </c>
      <c r="M54" s="650">
        <f t="shared" si="15"/>
        <v>0</v>
      </c>
      <c r="N54" s="564"/>
      <c r="O54"/>
      <c r="P54"/>
      <c r="Q54"/>
      <c r="R54"/>
      <c r="S54" s="63"/>
      <c r="T54"/>
    </row>
    <row r="55" spans="1:20">
      <c r="A55" s="268" t="s">
        <v>164</v>
      </c>
      <c r="B55" s="764" t="s">
        <v>238</v>
      </c>
      <c r="C55" s="154" t="str">
        <f>'RFPR cover'!$C$14</f>
        <v>£m 09/10</v>
      </c>
      <c r="D55" s="576"/>
      <c r="E55" s="577"/>
      <c r="F55" s="577"/>
      <c r="G55" s="577"/>
      <c r="H55" s="577"/>
      <c r="I55" s="577"/>
      <c r="J55" s="577"/>
      <c r="K55" s="577"/>
      <c r="L55" s="649">
        <f>SUM(D55:INDEX(D55:K55,0,MATCH('RFPR cover'!$C$7,$D$6:$K$6,0)))</f>
        <v>0</v>
      </c>
      <c r="M55" s="650">
        <f t="shared" si="15"/>
        <v>0</v>
      </c>
      <c r="N55" s="564"/>
      <c r="O55"/>
      <c r="P55"/>
      <c r="Q55"/>
      <c r="R55"/>
      <c r="S55"/>
      <c r="T55"/>
    </row>
    <row r="56" spans="1:20">
      <c r="A56" s="268" t="s">
        <v>165</v>
      </c>
      <c r="B56" s="764" t="s">
        <v>238</v>
      </c>
      <c r="C56" s="154" t="str">
        <f>'RFPR cover'!$C$14</f>
        <v>£m 09/10</v>
      </c>
      <c r="D56" s="576"/>
      <c r="E56" s="577"/>
      <c r="F56" s="577"/>
      <c r="G56" s="577"/>
      <c r="H56" s="577"/>
      <c r="I56" s="577"/>
      <c r="J56" s="577"/>
      <c r="K56" s="577"/>
      <c r="L56" s="649">
        <f>SUM(D56:INDEX(D56:K56,0,MATCH('RFPR cover'!$C$7,$D$6:$K$6,0)))</f>
        <v>0</v>
      </c>
      <c r="M56" s="650">
        <f t="shared" si="15"/>
        <v>0</v>
      </c>
      <c r="N56" s="564"/>
      <c r="O56"/>
      <c r="P56"/>
      <c r="Q56"/>
      <c r="R56"/>
      <c r="S56"/>
      <c r="T56"/>
    </row>
    <row r="57" spans="1:20">
      <c r="A57" s="268" t="s">
        <v>166</v>
      </c>
      <c r="B57" s="764" t="s">
        <v>238</v>
      </c>
      <c r="C57" s="154" t="str">
        <f>'RFPR cover'!$C$14</f>
        <v>£m 09/10</v>
      </c>
      <c r="D57" s="580"/>
      <c r="E57" s="581"/>
      <c r="F57" s="581"/>
      <c r="G57" s="581"/>
      <c r="H57" s="581"/>
      <c r="I57" s="581"/>
      <c r="J57" s="581"/>
      <c r="K57" s="581"/>
      <c r="L57" s="651">
        <f>SUM(D57:INDEX(D57:K57,0,MATCH('RFPR cover'!$C$7,$D$6:$K$6,0)))</f>
        <v>0</v>
      </c>
      <c r="M57" s="652">
        <f t="shared" si="15"/>
        <v>0</v>
      </c>
      <c r="N57" s="565"/>
      <c r="O57"/>
      <c r="P57"/>
      <c r="Q57"/>
      <c r="R57"/>
      <c r="S57"/>
      <c r="T57"/>
    </row>
    <row r="58" spans="1:20">
      <c r="A58" s="33"/>
      <c r="B58" s="774" t="s">
        <v>186</v>
      </c>
      <c r="C58" s="154" t="str">
        <f>'RFPR cover'!$C$14</f>
        <v>£m 09/10</v>
      </c>
      <c r="D58" s="101">
        <f>SUM(D52:D57)</f>
        <v>0</v>
      </c>
      <c r="E58" s="102">
        <f t="shared" ref="E58:K58" si="16">SUM(E52:E57)</f>
        <v>0</v>
      </c>
      <c r="F58" s="102">
        <f t="shared" si="16"/>
        <v>0</v>
      </c>
      <c r="G58" s="102">
        <f t="shared" si="16"/>
        <v>0</v>
      </c>
      <c r="H58" s="102">
        <f t="shared" si="16"/>
        <v>0</v>
      </c>
      <c r="I58" s="102">
        <f t="shared" si="16"/>
        <v>0</v>
      </c>
      <c r="J58" s="102">
        <f t="shared" si="16"/>
        <v>0</v>
      </c>
      <c r="K58" s="102">
        <f t="shared" si="16"/>
        <v>0</v>
      </c>
      <c r="L58" s="345">
        <f>SUM(D58:INDEX(D58:K58,0,MATCH('RFPR cover'!$C$7,$D$6:$K$6,0)))</f>
        <v>0</v>
      </c>
      <c r="M58" s="346">
        <f t="shared" si="15"/>
        <v>0</v>
      </c>
      <c r="N58" s="343"/>
    </row>
    <row r="59" spans="1:20">
      <c r="A59" s="33"/>
      <c r="B59" s="766"/>
      <c r="N59" s="341"/>
    </row>
    <row r="60" spans="1:20">
      <c r="A60" s="33"/>
      <c r="B60" s="773" t="s">
        <v>194</v>
      </c>
      <c r="C60" s="158" t="str">
        <f>'RFPR cover'!$C$14</f>
        <v>£m 09/10</v>
      </c>
      <c r="D60" s="94">
        <f t="shared" ref="D60:K60" si="17">D58*D46</f>
        <v>0</v>
      </c>
      <c r="E60" s="95">
        <f t="shared" si="17"/>
        <v>0</v>
      </c>
      <c r="F60" s="95">
        <f t="shared" si="17"/>
        <v>0</v>
      </c>
      <c r="G60" s="95">
        <f t="shared" si="17"/>
        <v>0</v>
      </c>
      <c r="H60" s="95">
        <f t="shared" si="17"/>
        <v>0</v>
      </c>
      <c r="I60" s="95">
        <f t="shared" si="17"/>
        <v>0</v>
      </c>
      <c r="J60" s="95">
        <f t="shared" si="17"/>
        <v>0</v>
      </c>
      <c r="K60" s="95">
        <f t="shared" si="17"/>
        <v>0</v>
      </c>
      <c r="L60" s="347">
        <f>SUM(D60:INDEX(D60:K60,0,MATCH('RFPR cover'!$C$7,$D$6:$K$6,0)))</f>
        <v>0</v>
      </c>
      <c r="M60" s="566">
        <f>SUM(D60:K60)</f>
        <v>0</v>
      </c>
      <c r="N60" s="343"/>
    </row>
    <row r="61" spans="1:20">
      <c r="A61" s="33"/>
      <c r="B61" s="773" t="s">
        <v>304</v>
      </c>
      <c r="C61" s="158" t="str">
        <f>'RFPR cover'!$C$14</f>
        <v>£m 09/10</v>
      </c>
      <c r="D61" s="91">
        <f t="shared" ref="D61:K61" si="18">D58*(1-D46)</f>
        <v>0</v>
      </c>
      <c r="E61" s="92">
        <f t="shared" si="18"/>
        <v>0</v>
      </c>
      <c r="F61" s="92">
        <f t="shared" si="18"/>
        <v>0</v>
      </c>
      <c r="G61" s="92">
        <f t="shared" si="18"/>
        <v>0</v>
      </c>
      <c r="H61" s="92">
        <f t="shared" si="18"/>
        <v>0</v>
      </c>
      <c r="I61" s="92">
        <f t="shared" si="18"/>
        <v>0</v>
      </c>
      <c r="J61" s="92">
        <f t="shared" si="18"/>
        <v>0</v>
      </c>
      <c r="K61" s="92">
        <f t="shared" si="18"/>
        <v>0</v>
      </c>
      <c r="L61" s="348">
        <f>SUM(D61:INDEX(D61:K61,0,MATCH('RFPR cover'!$C$7,$D$6:$K$6,0)))</f>
        <v>0</v>
      </c>
      <c r="M61" s="567">
        <f>SUM(D61:K61)</f>
        <v>0</v>
      </c>
      <c r="N61" s="343"/>
    </row>
    <row r="62" spans="1:20">
      <c r="A62" s="33"/>
      <c r="B62" s="766"/>
      <c r="N62" s="341"/>
    </row>
    <row r="63" spans="1:20">
      <c r="A63" s="33"/>
      <c r="B63" s="774" t="s">
        <v>177</v>
      </c>
      <c r="N63" s="341"/>
    </row>
    <row r="64" spans="1:20">
      <c r="A64" s="33"/>
      <c r="B64" s="766" t="s">
        <v>176</v>
      </c>
      <c r="C64" s="154" t="str">
        <f>'RFPR cover'!$C$14</f>
        <v>£m 09/10</v>
      </c>
      <c r="D64" s="94">
        <f>D48+D60</f>
        <v>0</v>
      </c>
      <c r="E64" s="95">
        <f t="shared" ref="E64:K64" si="19">E48+E60</f>
        <v>0</v>
      </c>
      <c r="F64" s="95">
        <f t="shared" si="19"/>
        <v>0</v>
      </c>
      <c r="G64" s="95">
        <f t="shared" si="19"/>
        <v>0</v>
      </c>
      <c r="H64" s="95">
        <f t="shared" si="19"/>
        <v>0</v>
      </c>
      <c r="I64" s="95">
        <f t="shared" si="19"/>
        <v>0</v>
      </c>
      <c r="J64" s="95">
        <f t="shared" si="19"/>
        <v>0</v>
      </c>
      <c r="K64" s="95">
        <f t="shared" si="19"/>
        <v>0</v>
      </c>
      <c r="L64" s="347">
        <f>SUM(D64:INDEX(D64:K64,0,MATCH('RFPR cover'!$C$7,$D$6:$K$6,0)))</f>
        <v>0</v>
      </c>
      <c r="M64" s="566">
        <f>SUM(D64:K64)</f>
        <v>0</v>
      </c>
      <c r="N64" s="343"/>
    </row>
    <row r="65" spans="1:20">
      <c r="A65" s="33"/>
      <c r="B65" s="766" t="s">
        <v>275</v>
      </c>
      <c r="C65" s="154" t="str">
        <f>'RFPR cover'!$C$14</f>
        <v>£m 09/10</v>
      </c>
      <c r="D65" s="97">
        <f>D49+D61</f>
        <v>0</v>
      </c>
      <c r="E65" s="98">
        <f t="shared" ref="E65:K65" si="20">E49+E61</f>
        <v>0</v>
      </c>
      <c r="F65" s="98">
        <f t="shared" si="20"/>
        <v>0</v>
      </c>
      <c r="G65" s="98">
        <f t="shared" si="20"/>
        <v>0</v>
      </c>
      <c r="H65" s="98">
        <f t="shared" si="20"/>
        <v>0</v>
      </c>
      <c r="I65" s="98">
        <f t="shared" si="20"/>
        <v>0</v>
      </c>
      <c r="J65" s="98">
        <f t="shared" si="20"/>
        <v>0</v>
      </c>
      <c r="K65" s="98">
        <f t="shared" si="20"/>
        <v>0</v>
      </c>
      <c r="L65" s="349">
        <f>SUM(D65:INDEX(D65:K65,0,MATCH('RFPR cover'!$C$7,$D$6:$K$6,0)))</f>
        <v>0</v>
      </c>
      <c r="M65" s="567">
        <f>SUM(D65:K65)</f>
        <v>0</v>
      </c>
      <c r="N65" s="343"/>
    </row>
    <row r="66" spans="1:20">
      <c r="A66" s="33"/>
      <c r="B66" s="774" t="s">
        <v>11</v>
      </c>
      <c r="C66" s="155" t="str">
        <f>'RFPR cover'!$C$14</f>
        <v>£m 09/10</v>
      </c>
      <c r="D66" s="138">
        <f>SUM(D64:D65)</f>
        <v>0</v>
      </c>
      <c r="E66" s="139">
        <f t="shared" ref="E66:K66" si="21">SUM(E64:E65)</f>
        <v>0</v>
      </c>
      <c r="F66" s="139">
        <f t="shared" si="21"/>
        <v>0</v>
      </c>
      <c r="G66" s="139">
        <f t="shared" si="21"/>
        <v>0</v>
      </c>
      <c r="H66" s="139">
        <f t="shared" si="21"/>
        <v>0</v>
      </c>
      <c r="I66" s="139">
        <f t="shared" si="21"/>
        <v>0</v>
      </c>
      <c r="J66" s="139">
        <f t="shared" si="21"/>
        <v>0</v>
      </c>
      <c r="K66" s="139">
        <f t="shared" si="21"/>
        <v>0</v>
      </c>
      <c r="L66" s="350">
        <f>SUM(D66:INDEX(D66:K66,0,MATCH('RFPR cover'!$C$7,$D$6:$K$6,0)))</f>
        <v>0</v>
      </c>
      <c r="M66" s="351">
        <f>SUM(D66:K66)</f>
        <v>0</v>
      </c>
      <c r="N66" s="344"/>
    </row>
    <row r="67" spans="1:20">
      <c r="A67" s="33"/>
      <c r="B67" s="774"/>
      <c r="C67" s="155"/>
      <c r="D67" s="155"/>
      <c r="E67" s="155"/>
      <c r="F67" s="155"/>
      <c r="G67" s="155"/>
      <c r="H67" s="155"/>
      <c r="I67" s="155"/>
      <c r="J67" s="155"/>
      <c r="K67" s="155"/>
      <c r="L67" s="155"/>
      <c r="M67" s="155"/>
    </row>
    <row r="68" spans="1:20">
      <c r="A68" s="33"/>
      <c r="B68" s="769" t="s">
        <v>252</v>
      </c>
      <c r="C68" s="149"/>
      <c r="D68" s="80"/>
      <c r="E68" s="80"/>
      <c r="F68" s="80"/>
      <c r="G68" s="80"/>
      <c r="H68" s="80"/>
      <c r="I68" s="80"/>
      <c r="J68" s="80"/>
      <c r="K68" s="80"/>
      <c r="L68" s="80"/>
      <c r="M68" s="80"/>
      <c r="N68" s="80"/>
    </row>
    <row r="69" spans="1:20">
      <c r="A69" s="33"/>
      <c r="B69" s="766"/>
      <c r="O69"/>
      <c r="P69"/>
      <c r="Q69"/>
      <c r="R69"/>
      <c r="S69"/>
      <c r="T69"/>
    </row>
    <row r="70" spans="1:20">
      <c r="A70" s="33"/>
      <c r="B70" s="774" t="s">
        <v>177</v>
      </c>
    </row>
    <row r="71" spans="1:20">
      <c r="A71" s="33"/>
      <c r="B71" s="766" t="s">
        <v>176</v>
      </c>
      <c r="C71" s="154" t="str">
        <f>'RFPR cover'!$C$14</f>
        <v>£m 09/10</v>
      </c>
      <c r="D71" s="94">
        <f>D36+D64</f>
        <v>14.764455461061978</v>
      </c>
      <c r="E71" s="95">
        <f t="shared" ref="E71:K71" si="22">E36+E64</f>
        <v>18.092037219206254</v>
      </c>
      <c r="F71" s="95">
        <f t="shared" si="22"/>
        <v>12.380840177981108</v>
      </c>
      <c r="G71" s="95">
        <f t="shared" si="22"/>
        <v>7.292060550408948</v>
      </c>
      <c r="H71" s="95">
        <f t="shared" si="22"/>
        <v>0.13909729606329524</v>
      </c>
      <c r="I71" s="95">
        <f t="shared" si="22"/>
        <v>-9.560475816526548E-2</v>
      </c>
      <c r="J71" s="95">
        <f t="shared" si="22"/>
        <v>-3.3673543349470769</v>
      </c>
      <c r="K71" s="95">
        <f t="shared" si="22"/>
        <v>0.28712022627281897</v>
      </c>
      <c r="L71" s="94">
        <f>SUM(D71:INDEX(D71:K71,0,MATCH('RFPR cover'!$C$7,$D$6:$K$6,0)))</f>
        <v>49.205531611609246</v>
      </c>
      <c r="M71" s="96">
        <f>SUM(D71:K71)</f>
        <v>49.492651837882065</v>
      </c>
    </row>
    <row r="72" spans="1:20">
      <c r="A72" s="33"/>
      <c r="B72" s="766" t="s">
        <v>275</v>
      </c>
      <c r="C72" s="154" t="str">
        <f>'RFPR cover'!$C$14</f>
        <v>£m 09/10</v>
      </c>
      <c r="D72" s="511">
        <f t="shared" ref="D72:K72" si="23">D37+D65</f>
        <v>14.764455461061978</v>
      </c>
      <c r="E72" s="512">
        <f t="shared" si="23"/>
        <v>18.092037219206254</v>
      </c>
      <c r="F72" s="512">
        <f t="shared" si="23"/>
        <v>12.380840177981108</v>
      </c>
      <c r="G72" s="512">
        <f t="shared" si="23"/>
        <v>7.292060550408948</v>
      </c>
      <c r="H72" s="512">
        <f t="shared" si="23"/>
        <v>0.13909729606329524</v>
      </c>
      <c r="I72" s="512">
        <f t="shared" si="23"/>
        <v>-9.560475816526548E-2</v>
      </c>
      <c r="J72" s="512">
        <f t="shared" si="23"/>
        <v>-3.3673543349470769</v>
      </c>
      <c r="K72" s="512">
        <f t="shared" si="23"/>
        <v>0.28712022627281897</v>
      </c>
      <c r="L72" s="511">
        <f>SUM(D72:INDEX(D72:K72,0,MATCH('RFPR cover'!$C$7,$D$6:$K$6,0)))</f>
        <v>49.205531611609246</v>
      </c>
      <c r="M72" s="513">
        <f>SUM(D72:K72)</f>
        <v>49.492651837882065</v>
      </c>
    </row>
    <row r="73" spans="1:20">
      <c r="A73" s="33"/>
      <c r="B73" s="774" t="s">
        <v>11</v>
      </c>
      <c r="C73" s="155" t="str">
        <f>'RFPR cover'!$C$14</f>
        <v>£m 09/10</v>
      </c>
      <c r="D73" s="144">
        <f>SUM(D71:D72)</f>
        <v>29.528910922123956</v>
      </c>
      <c r="E73" s="145">
        <f t="shared" ref="E73:K73" si="24">SUM(E71:E72)</f>
        <v>36.184074438412509</v>
      </c>
      <c r="F73" s="145">
        <f t="shared" si="24"/>
        <v>24.761680355962216</v>
      </c>
      <c r="G73" s="145">
        <f t="shared" si="24"/>
        <v>14.584121100817896</v>
      </c>
      <c r="H73" s="145">
        <f t="shared" si="24"/>
        <v>0.27819459212659048</v>
      </c>
      <c r="I73" s="145">
        <f t="shared" si="24"/>
        <v>-0.19120951633053096</v>
      </c>
      <c r="J73" s="145">
        <f t="shared" si="24"/>
        <v>-6.7347086698941538</v>
      </c>
      <c r="K73" s="145">
        <f t="shared" si="24"/>
        <v>0.57424045254563794</v>
      </c>
      <c r="L73" s="144">
        <f>SUM(D73:INDEX(D73:K73,0,MATCH('RFPR cover'!$C$7,$D$6:$K$6,0)))</f>
        <v>98.411063223218491</v>
      </c>
      <c r="M73" s="146">
        <f>SUM(D73:K73)</f>
        <v>98.985303675764129</v>
      </c>
    </row>
    <row r="74" spans="1:20">
      <c r="A74" s="33"/>
      <c r="B74" s="774"/>
      <c r="C74" s="155"/>
      <c r="D74" s="155"/>
      <c r="E74" s="155"/>
      <c r="F74" s="155"/>
      <c r="G74" s="155"/>
      <c r="H74" s="155"/>
      <c r="I74" s="155"/>
      <c r="J74" s="155"/>
      <c r="K74" s="155"/>
      <c r="L74" s="155"/>
      <c r="M74" s="155"/>
    </row>
    <row r="75" spans="1:20">
      <c r="A75" s="33"/>
      <c r="B75" s="766"/>
    </row>
    <row r="76" spans="1:20">
      <c r="A76" s="33"/>
      <c r="B76" s="769" t="s">
        <v>210</v>
      </c>
      <c r="C76" s="149"/>
      <c r="D76" s="79"/>
      <c r="E76" s="79"/>
      <c r="F76" s="79"/>
      <c r="G76" s="79"/>
      <c r="H76" s="79"/>
      <c r="I76" s="79"/>
      <c r="J76" s="79"/>
      <c r="K76" s="79"/>
      <c r="L76" s="79"/>
      <c r="M76" s="79"/>
      <c r="N76" s="79"/>
    </row>
    <row r="77" spans="1:20">
      <c r="A77" s="33"/>
      <c r="B77" s="358" t="s">
        <v>209</v>
      </c>
      <c r="C77" s="357"/>
      <c r="D77" s="357"/>
      <c r="E77" s="357"/>
      <c r="F77" s="357"/>
      <c r="G77" s="357"/>
      <c r="H77" s="357"/>
      <c r="I77" s="357"/>
      <c r="J77" s="357"/>
      <c r="K77" s="357"/>
      <c r="L77" s="357"/>
      <c r="M77" s="357"/>
      <c r="N77" s="357"/>
    </row>
    <row r="78" spans="1:20" s="33" customFormat="1">
      <c r="B78" s="418"/>
      <c r="C78" s="362"/>
      <c r="D78" s="362"/>
      <c r="E78" s="362"/>
      <c r="F78" s="362"/>
      <c r="G78" s="362"/>
      <c r="H78" s="362"/>
      <c r="I78" s="362"/>
      <c r="J78" s="362"/>
      <c r="K78" s="362"/>
      <c r="L78" s="362"/>
      <c r="M78" s="362"/>
      <c r="N78" s="362"/>
    </row>
    <row r="79" spans="1:20">
      <c r="A79" s="33"/>
      <c r="B79" s="773" t="s">
        <v>213</v>
      </c>
      <c r="C79" s="154" t="str">
        <f>'RFPR cover'!$C$14</f>
        <v>£m 09/10</v>
      </c>
      <c r="D79" s="653">
        <f>INDEX(Data!$C$119:$L$146,MATCH('RFPR cover'!$C$5,Data!$B$119:$B$146,0),MATCH('R4 - Totex'!D$6,Data!$C$118:$L$118,0))</f>
        <v>10.952751093909903</v>
      </c>
      <c r="E79" s="654">
        <f>INDEX(Data!$C$119:$L$146,MATCH('RFPR cover'!$C$5,Data!$B$119:$B$146,0),MATCH('R4 - Totex'!E$6,Data!$C$118:$L$118,0))</f>
        <v>1.3412683602121493</v>
      </c>
      <c r="F79" s="654">
        <f>INDEX(Data!$C$119:$L$146,MATCH('RFPR cover'!$C$5,Data!$B$119:$B$146,0),MATCH('R4 - Totex'!F$6,Data!$C$118:$L$118,0))</f>
        <v>22.190179414419269</v>
      </c>
      <c r="G79" s="654">
        <f>INDEX(Data!$C$119:$L$146,MATCH('RFPR cover'!$C$5,Data!$B$119:$B$146,0),MATCH('R4 - Totex'!G$6,Data!$C$118:$L$118,0))</f>
        <v>7.0488483253947072</v>
      </c>
      <c r="H79" s="654">
        <f>INDEX(Data!$C$119:$L$146,MATCH('RFPR cover'!$C$5,Data!$B$119:$B$146,0),MATCH('R4 - Totex'!H$6,Data!$C$118:$L$118,0))</f>
        <v>6.9020695692988534</v>
      </c>
      <c r="I79" s="654">
        <f>INDEX(Data!$C$119:$L$146,MATCH('RFPR cover'!$C$5,Data!$B$119:$B$146,0),MATCH('R4 - Totex'!I$6,Data!$C$118:$L$118,0))</f>
        <v>6.9425238085580094</v>
      </c>
      <c r="J79" s="654">
        <f>INDEX(Data!$C$119:$L$146,MATCH('RFPR cover'!$C$5,Data!$B$119:$B$146,0),MATCH('R4 - Totex'!J$6,Data!$C$118:$L$118,0))</f>
        <v>7.0785069781779111</v>
      </c>
      <c r="K79" s="655">
        <f>INDEX(Data!$C$119:$L$146,MATCH('RFPR cover'!$C$5,Data!$B$119:$B$146,0),MATCH('R4 - Totex'!K$6,Data!$C$118:$L$118,0))</f>
        <v>5.2688524500291916</v>
      </c>
      <c r="L79" s="97">
        <f>SUM(D79:INDEX(D79:K79,0,MATCH('RFPR cover'!$C$7,$D$6:$K$6,0)))</f>
        <v>62.456147549970801</v>
      </c>
      <c r="M79" s="99">
        <f>SUM(D79:K79)</f>
        <v>67.724999999999994</v>
      </c>
    </row>
    <row r="80" spans="1:20">
      <c r="A80" s="33"/>
      <c r="B80" s="224" t="s">
        <v>197</v>
      </c>
      <c r="C80" s="154" t="s">
        <v>7</v>
      </c>
      <c r="D80" s="877">
        <f>IF(INDEX(Data!$J$73:$J$100,MATCH('RFPR cover'!$C$5,Data!$B$73:$B$100,0),0)="Pre",INDEX(Data!$G$18:$G$27,MATCH('R4 - Totex'!D$6,Data!$C$18:$C$27,0),0),"n/a")</f>
        <v>0.23</v>
      </c>
      <c r="E80" s="877">
        <f>IF(INDEX(Data!$J$73:$J$100,MATCH('RFPR cover'!$C$5,Data!$B$73:$B$100,0),0)="Pre",INDEX(Data!$G$18:$G$27,MATCH('R4 - Totex'!E$6,Data!$C$18:$C$27,0),0),"n/a")</f>
        <v>0.21</v>
      </c>
      <c r="F80" s="877">
        <f>IF(INDEX(Data!$J$73:$J$100,MATCH('RFPR cover'!$C$5,Data!$B$73:$B$100,0),0)="Pre",INDEX(Data!$G$18:$G$27,MATCH('R4 - Totex'!F$6,Data!$C$18:$C$27,0),0),"n/a")</f>
        <v>0.2</v>
      </c>
      <c r="G80" s="877">
        <f>IF(INDEX(Data!$J$73:$J$100,MATCH('RFPR cover'!$C$5,Data!$B$73:$B$100,0),0)="Pre",INDEX(Data!$G$18:$G$27,MATCH('R4 - Totex'!G$6,Data!$C$18:$C$27,0),0),"n/a")</f>
        <v>0.2</v>
      </c>
      <c r="H80" s="877">
        <f>IF(INDEX(Data!$J$73:$J$100,MATCH('RFPR cover'!$C$5,Data!$B$73:$B$100,0),0)="Pre",INDEX(Data!$G$18:$G$27,MATCH('R4 - Totex'!H$6,Data!$C$18:$C$27,0),0),"n/a")</f>
        <v>0.19</v>
      </c>
      <c r="I80" s="877">
        <f>IF(INDEX(Data!$J$73:$J$100,MATCH('RFPR cover'!$C$5,Data!$B$73:$B$100,0),0)="Pre",INDEX(Data!$G$18:$G$27,MATCH('R4 - Totex'!I$6,Data!$C$18:$C$27,0),0),"n/a")</f>
        <v>0.19</v>
      </c>
      <c r="J80" s="877">
        <f>IF(INDEX(Data!$J$73:$J$100,MATCH('RFPR cover'!$C$5,Data!$B$73:$B$100,0),0)="Pre",INDEX(Data!$G$18:$G$27,MATCH('R4 - Totex'!J$6,Data!$C$18:$C$27,0),0),"n/a")</f>
        <v>0.19</v>
      </c>
      <c r="K80" s="877">
        <f>IF(INDEX(Data!$J$73:$J$100,MATCH('RFPR cover'!$C$5,Data!$B$73:$B$100,0),0)="Pre",INDEX(Data!$G$18:$G$27,MATCH('R4 - Totex'!K$6,Data!$C$18:$C$27,0),0),"n/a")</f>
        <v>0.19</v>
      </c>
      <c r="L80" s="875"/>
      <c r="M80" s="876"/>
    </row>
    <row r="81" spans="1:20">
      <c r="A81" s="33"/>
      <c r="B81" s="224" t="s">
        <v>206</v>
      </c>
      <c r="C81" s="154" t="str">
        <f>'RFPR cover'!$C$14</f>
        <v>£m 09/10</v>
      </c>
      <c r="D81" s="600">
        <f>IF(ISNUMBER(D80),D79*(1-D80),D79)</f>
        <v>8.4336183423106252</v>
      </c>
      <c r="E81" s="601">
        <f t="shared" ref="E81:K81" si="25">IF(ISNUMBER(E80),E79*(1-E80),E79)</f>
        <v>1.059602004567598</v>
      </c>
      <c r="F81" s="601">
        <f t="shared" si="25"/>
        <v>17.752143531535417</v>
      </c>
      <c r="G81" s="601">
        <f t="shared" si="25"/>
        <v>5.6390786603157661</v>
      </c>
      <c r="H81" s="601">
        <f t="shared" si="25"/>
        <v>5.5906763511320721</v>
      </c>
      <c r="I81" s="601">
        <f t="shared" si="25"/>
        <v>5.6234442849319883</v>
      </c>
      <c r="J81" s="601">
        <f t="shared" si="25"/>
        <v>5.733590652324108</v>
      </c>
      <c r="K81" s="602">
        <f t="shared" si="25"/>
        <v>4.2677704845236457</v>
      </c>
      <c r="L81" s="659">
        <f>SUM(D81:INDEX(D81:K81,0,MATCH('RFPR cover'!$C$7,$D$6:$K$6,0)))</f>
        <v>49.83215382711758</v>
      </c>
      <c r="M81" s="660">
        <f>SUM(D81:K81)</f>
        <v>54.099924311641225</v>
      </c>
    </row>
    <row r="82" spans="1:20">
      <c r="A82" s="33"/>
      <c r="B82" s="224"/>
      <c r="C82" s="64"/>
      <c r="D82" s="280"/>
      <c r="E82" s="280"/>
      <c r="F82" s="280"/>
      <c r="G82" s="280"/>
      <c r="H82" s="280"/>
      <c r="I82" s="280"/>
      <c r="J82" s="280"/>
      <c r="K82" s="280"/>
      <c r="L82" s="281"/>
      <c r="M82" s="281"/>
    </row>
    <row r="83" spans="1:20">
      <c r="A83" s="33"/>
      <c r="B83" s="224"/>
      <c r="C83" s="64"/>
      <c r="D83" s="280"/>
      <c r="E83" s="280"/>
      <c r="F83" s="280"/>
      <c r="G83" s="280"/>
      <c r="H83" s="280"/>
      <c r="I83" s="280"/>
      <c r="J83" s="280"/>
      <c r="K83" s="280"/>
      <c r="L83" s="281"/>
      <c r="M83" s="281"/>
    </row>
    <row r="84" spans="1:20">
      <c r="A84" s="33"/>
      <c r="B84" s="224"/>
      <c r="C84" s="64"/>
      <c r="D84" s="280"/>
      <c r="E84" s="280"/>
      <c r="F84" s="280"/>
      <c r="G84" s="280"/>
      <c r="H84" s="280"/>
      <c r="I84" s="280"/>
      <c r="J84" s="280"/>
      <c r="K84" s="280"/>
      <c r="L84" s="281"/>
      <c r="M84" s="281"/>
    </row>
    <row r="85" spans="1:20">
      <c r="A85" s="33"/>
      <c r="B85" s="766"/>
    </row>
    <row r="86" spans="1:20">
      <c r="A86" s="33"/>
      <c r="B86" s="768" t="s">
        <v>183</v>
      </c>
      <c r="C86" s="288"/>
      <c r="D86" s="290"/>
      <c r="E86" s="290"/>
      <c r="F86" s="290"/>
      <c r="G86" s="290"/>
      <c r="H86" s="290"/>
      <c r="I86" s="290"/>
      <c r="J86" s="290"/>
      <c r="K86" s="290"/>
      <c r="L86" s="290"/>
      <c r="M86" s="290"/>
      <c r="N86" s="290"/>
    </row>
    <row r="87" spans="1:20">
      <c r="A87" s="33"/>
      <c r="B87" s="774"/>
    </row>
    <row r="88" spans="1:20">
      <c r="A88" s="33"/>
      <c r="B88" s="773" t="str">
        <f>Data!B34</f>
        <v>Financial Year Average RPI (RPIt)</v>
      </c>
      <c r="C88" s="135" t="s">
        <v>124</v>
      </c>
      <c r="D88" s="111">
        <f>Data!C$34</f>
        <v>1.1666890673736021</v>
      </c>
      <c r="E88" s="112">
        <f>Data!D$34</f>
        <v>1.1895563269638081</v>
      </c>
      <c r="F88" s="112">
        <f>Data!E$34</f>
        <v>1.2023757108362261</v>
      </c>
      <c r="G88" s="112">
        <f>Data!F$34</f>
        <v>1.2281396135646323</v>
      </c>
      <c r="H88" s="112">
        <f>Data!G$34</f>
        <v>1.2740965949380583</v>
      </c>
      <c r="I88" s="112">
        <f>Data!H$34</f>
        <v>1.3130274787154661</v>
      </c>
      <c r="J88" s="112">
        <f>Data!I$34</f>
        <v>1.3470178479563604</v>
      </c>
      <c r="K88" s="113">
        <f>Data!J$34</f>
        <v>1.3803565396932804</v>
      </c>
    </row>
    <row r="89" spans="1:20">
      <c r="A89" s="33"/>
      <c r="B89" s="773"/>
      <c r="D89" s="135"/>
      <c r="E89" s="135"/>
      <c r="F89" s="135"/>
      <c r="G89" s="135"/>
      <c r="H89" s="135"/>
      <c r="I89" s="135"/>
      <c r="J89" s="135"/>
      <c r="K89" s="135"/>
    </row>
    <row r="90" spans="1:20">
      <c r="A90" s="33"/>
      <c r="B90" s="769" t="str">
        <f>B10</f>
        <v>Totex</v>
      </c>
      <c r="C90" s="149"/>
      <c r="D90" s="80"/>
      <c r="E90" s="80"/>
      <c r="F90" s="80"/>
      <c r="G90" s="80"/>
      <c r="H90" s="80"/>
      <c r="I90" s="80"/>
      <c r="J90" s="80"/>
      <c r="K90" s="80"/>
      <c r="L90" s="80"/>
      <c r="M90" s="80"/>
      <c r="N90" s="80"/>
    </row>
    <row r="91" spans="1:20" s="33" customFormat="1">
      <c r="B91" s="770"/>
      <c r="C91" s="137"/>
      <c r="D91" s="314"/>
      <c r="E91" s="314"/>
      <c r="F91" s="314"/>
      <c r="G91" s="314"/>
      <c r="H91" s="314"/>
      <c r="I91" s="314"/>
      <c r="J91" s="314"/>
      <c r="K91" s="314"/>
      <c r="L91" s="314"/>
      <c r="M91" s="314"/>
      <c r="N91" s="314"/>
    </row>
    <row r="92" spans="1:20">
      <c r="A92" s="33"/>
      <c r="B92" s="302" t="s">
        <v>32</v>
      </c>
      <c r="C92" s="154" t="s">
        <v>125</v>
      </c>
      <c r="D92" s="662">
        <f t="shared" ref="D92:K93" si="26">D12*D$88</f>
        <v>239.41534259943089</v>
      </c>
      <c r="E92" s="662">
        <f t="shared" si="26"/>
        <v>279.61892028217682</v>
      </c>
      <c r="F92" s="662">
        <f t="shared" si="26"/>
        <v>355.30294518097361</v>
      </c>
      <c r="G92" s="662">
        <f t="shared" si="26"/>
        <v>345.64707255132072</v>
      </c>
      <c r="H92" s="662">
        <f t="shared" si="26"/>
        <v>238.7971852251641</v>
      </c>
      <c r="I92" s="662">
        <f t="shared" si="26"/>
        <v>187.68709731029153</v>
      </c>
      <c r="J92" s="662">
        <f t="shared" si="26"/>
        <v>204.51819701884787</v>
      </c>
      <c r="K92" s="662">
        <f t="shared" si="26"/>
        <v>310.92960309646088</v>
      </c>
      <c r="L92" s="661">
        <f>SUM(D92:INDEX(D92:K92,0,MATCH('RFPR cover'!$C$7,$D$6:$K$6,0)))</f>
        <v>1850.9867601682056</v>
      </c>
      <c r="M92" s="662">
        <f>SUM(D92:K92)</f>
        <v>2161.9163632646664</v>
      </c>
      <c r="N92" s="61"/>
      <c r="O92" s="61"/>
    </row>
    <row r="93" spans="1:20" ht="25.5">
      <c r="A93" s="33"/>
      <c r="B93" s="771" t="s">
        <v>193</v>
      </c>
      <c r="C93" s="154" t="s">
        <v>125</v>
      </c>
      <c r="D93" s="662">
        <f t="shared" si="26"/>
        <v>364.41002884839639</v>
      </c>
      <c r="E93" s="662">
        <f t="shared" si="26"/>
        <v>465.72523413246</v>
      </c>
      <c r="F93" s="662">
        <f t="shared" si="26"/>
        <v>354.12226138890583</v>
      </c>
      <c r="G93" s="662">
        <f t="shared" si="26"/>
        <v>181.04729417682387</v>
      </c>
      <c r="H93" s="662">
        <f t="shared" si="26"/>
        <v>246.82584739657844</v>
      </c>
      <c r="I93" s="662">
        <f t="shared" si="26"/>
        <v>276.68767860616896</v>
      </c>
      <c r="J93" s="662">
        <f t="shared" si="26"/>
        <v>245.93432578251867</v>
      </c>
      <c r="K93" s="662">
        <f t="shared" si="26"/>
        <v>135.74295858939817</v>
      </c>
      <c r="L93" s="663">
        <f>SUM(D93:INDEX(D93:K93,0,MATCH('RFPR cover'!$C$7,$D$6:$K$6,0)))</f>
        <v>2134.7526703318522</v>
      </c>
      <c r="M93" s="664">
        <f>SUM(D93:K93)</f>
        <v>2270.4956289212505</v>
      </c>
      <c r="N93" s="61"/>
      <c r="O93" s="61"/>
    </row>
    <row r="94" spans="1:20">
      <c r="A94" s="33"/>
      <c r="B94" s="772" t="s">
        <v>191</v>
      </c>
      <c r="C94" s="154" t="s">
        <v>125</v>
      </c>
      <c r="D94" s="101">
        <f>D93-D92</f>
        <v>124.99468624896551</v>
      </c>
      <c r="E94" s="102">
        <f t="shared" ref="E94:M94" si="27">E93-E92</f>
        <v>186.10631385028319</v>
      </c>
      <c r="F94" s="102">
        <f t="shared" si="27"/>
        <v>-1.1806837920677822</v>
      </c>
      <c r="G94" s="102">
        <f t="shared" si="27"/>
        <v>-164.59977837449685</v>
      </c>
      <c r="H94" s="102">
        <f t="shared" si="27"/>
        <v>8.0286621714143394</v>
      </c>
      <c r="I94" s="102">
        <f t="shared" si="27"/>
        <v>89.000581295877424</v>
      </c>
      <c r="J94" s="102">
        <f t="shared" si="27"/>
        <v>41.416128763670798</v>
      </c>
      <c r="K94" s="103">
        <f t="shared" si="27"/>
        <v>-175.18664450706271</v>
      </c>
      <c r="L94" s="101">
        <f t="shared" si="27"/>
        <v>283.76591016364659</v>
      </c>
      <c r="M94" s="103">
        <f t="shared" si="27"/>
        <v>108.57926565658408</v>
      </c>
      <c r="N94" s="61"/>
      <c r="O94" s="992"/>
      <c r="P94" s="992"/>
      <c r="Q94" s="992"/>
      <c r="R94"/>
      <c r="S94"/>
      <c r="T94"/>
    </row>
    <row r="95" spans="1:20">
      <c r="A95" s="33"/>
      <c r="B95" s="772"/>
      <c r="C95" s="154"/>
      <c r="D95" s="57"/>
      <c r="E95" s="57"/>
      <c r="F95" s="57"/>
      <c r="G95" s="57"/>
      <c r="H95" s="57"/>
      <c r="I95" s="57"/>
      <c r="J95" s="57"/>
      <c r="K95" s="57"/>
      <c r="L95" s="57"/>
      <c r="M95" s="57"/>
      <c r="O95" s="62"/>
      <c r="P95" s="62"/>
      <c r="Q95" s="62"/>
      <c r="R95"/>
      <c r="S95"/>
      <c r="T95"/>
    </row>
    <row r="96" spans="1:20">
      <c r="A96" s="33"/>
      <c r="B96" s="766" t="s">
        <v>174</v>
      </c>
      <c r="C96" s="135" t="s">
        <v>7</v>
      </c>
      <c r="D96" s="108">
        <f>1-INDEX(Data!$D$73:$D$100,MATCH('RFPR cover'!$C$5,Data!$B$73:$B$100,0),0)</f>
        <v>0.5</v>
      </c>
      <c r="E96" s="109">
        <f>1-INDEX(Data!$D$73:$D$100,MATCH('RFPR cover'!$C$5,Data!$B$73:$B$100,0),0)</f>
        <v>0.5</v>
      </c>
      <c r="F96" s="109">
        <f>1-INDEX(Data!$D$73:$D$100,MATCH('RFPR cover'!$C$5,Data!$B$73:$B$100,0),0)</f>
        <v>0.5</v>
      </c>
      <c r="G96" s="109">
        <f>1-INDEX(Data!$D$73:$D$100,MATCH('RFPR cover'!$C$5,Data!$B$73:$B$100,0),0)</f>
        <v>0.5</v>
      </c>
      <c r="H96" s="109">
        <f>1-INDEX(Data!$D$73:$D$100,MATCH('RFPR cover'!$C$5,Data!$B$73:$B$100,0),0)</f>
        <v>0.5</v>
      </c>
      <c r="I96" s="109">
        <f>1-INDEX(Data!$D$73:$D$100,MATCH('RFPR cover'!$C$5,Data!$B$73:$B$100,0),0)</f>
        <v>0.5</v>
      </c>
      <c r="J96" s="109">
        <f>1-INDEX(Data!$D$73:$D$100,MATCH('RFPR cover'!$C$5,Data!$B$73:$B$100,0),0)</f>
        <v>0.5</v>
      </c>
      <c r="K96" s="110">
        <f>1-INDEX(Data!$D$73:$D$100,MATCH('RFPR cover'!$C$5,Data!$B$73:$B$100,0),0)</f>
        <v>0.5</v>
      </c>
      <c r="L96" s="60"/>
      <c r="M96" s="60"/>
      <c r="O96"/>
      <c r="P96"/>
      <c r="Q96"/>
      <c r="R96"/>
      <c r="S96"/>
      <c r="T96"/>
    </row>
    <row r="97" spans="1:20">
      <c r="A97" s="33"/>
      <c r="B97" s="766"/>
      <c r="O97"/>
      <c r="P97"/>
      <c r="Q97"/>
      <c r="R97"/>
      <c r="S97"/>
      <c r="T97"/>
    </row>
    <row r="98" spans="1:20">
      <c r="A98" s="33"/>
      <c r="B98" s="773" t="s">
        <v>179</v>
      </c>
      <c r="C98" s="154" t="s">
        <v>125</v>
      </c>
      <c r="D98" s="94">
        <f>D94*D96</f>
        <v>62.497343124482754</v>
      </c>
      <c r="E98" s="95">
        <f t="shared" ref="E98:K98" si="28">E94*E96</f>
        <v>93.053156925141593</v>
      </c>
      <c r="F98" s="95">
        <f t="shared" si="28"/>
        <v>-0.59034189603389109</v>
      </c>
      <c r="G98" s="95">
        <f t="shared" si="28"/>
        <v>-82.299889187248425</v>
      </c>
      <c r="H98" s="95">
        <f t="shared" si="28"/>
        <v>4.0143310857071697</v>
      </c>
      <c r="I98" s="95">
        <f t="shared" si="28"/>
        <v>44.500290647938712</v>
      </c>
      <c r="J98" s="95">
        <f t="shared" si="28"/>
        <v>20.708064381835399</v>
      </c>
      <c r="K98" s="95">
        <f t="shared" si="28"/>
        <v>-87.593322253531355</v>
      </c>
      <c r="L98" s="94">
        <f>SUM(D98:INDEX(D98:K98,0,MATCH('RFPR cover'!$C$7,$D$6:$K$6,0)))</f>
        <v>141.88295508182333</v>
      </c>
      <c r="M98" s="96">
        <f>SUM(D98:K98)</f>
        <v>54.289632828291971</v>
      </c>
      <c r="O98"/>
      <c r="P98"/>
      <c r="Q98"/>
      <c r="R98"/>
      <c r="S98"/>
      <c r="T98"/>
    </row>
    <row r="99" spans="1:20">
      <c r="A99" s="33"/>
      <c r="B99" s="773" t="s">
        <v>275</v>
      </c>
      <c r="C99" s="154" t="s">
        <v>125</v>
      </c>
      <c r="D99" s="91">
        <f>D94*(1-D96)</f>
        <v>62.497343124482754</v>
      </c>
      <c r="E99" s="92">
        <f t="shared" ref="E99:K99" si="29">E94*(1-E96)</f>
        <v>93.053156925141593</v>
      </c>
      <c r="F99" s="92">
        <f t="shared" si="29"/>
        <v>-0.59034189603389109</v>
      </c>
      <c r="G99" s="92">
        <f t="shared" si="29"/>
        <v>-82.299889187248425</v>
      </c>
      <c r="H99" s="92">
        <f t="shared" si="29"/>
        <v>4.0143310857071697</v>
      </c>
      <c r="I99" s="92">
        <f t="shared" si="29"/>
        <v>44.500290647938712</v>
      </c>
      <c r="J99" s="92">
        <f t="shared" si="29"/>
        <v>20.708064381835399</v>
      </c>
      <c r="K99" s="92">
        <f t="shared" si="29"/>
        <v>-87.593322253531355</v>
      </c>
      <c r="L99" s="91">
        <f>SUM(D99:INDEX(D99:K99,0,MATCH('RFPR cover'!$C$7,$D$6:$K$6,0)))</f>
        <v>141.88295508182333</v>
      </c>
      <c r="M99" s="93">
        <f>SUM(D99:K99)</f>
        <v>54.289632828291971</v>
      </c>
      <c r="O99"/>
      <c r="P99"/>
      <c r="Q99"/>
      <c r="R99"/>
      <c r="S99"/>
      <c r="T99"/>
    </row>
    <row r="100" spans="1:20">
      <c r="A100" s="33"/>
      <c r="B100" s="766"/>
      <c r="O100"/>
      <c r="P100"/>
      <c r="Q100"/>
      <c r="R100"/>
      <c r="S100"/>
      <c r="T100"/>
    </row>
    <row r="101" spans="1:20">
      <c r="A101" s="33"/>
      <c r="B101" s="774" t="s">
        <v>178</v>
      </c>
      <c r="N101" s="61"/>
      <c r="O101"/>
      <c r="P101"/>
      <c r="Q101"/>
      <c r="R101"/>
      <c r="S101"/>
      <c r="T101"/>
    </row>
    <row r="102" spans="1:20">
      <c r="A102" s="268" t="s">
        <v>148</v>
      </c>
      <c r="B102" s="224" t="str">
        <f t="shared" ref="B102:B109" si="30">B22</f>
        <v>Western HVDC (profiling)</v>
      </c>
      <c r="C102" s="154" t="s">
        <v>125</v>
      </c>
      <c r="D102" s="582">
        <f t="shared" ref="D102:K107" si="31">D22*D$88</f>
        <v>-20.477086526603269</v>
      </c>
      <c r="E102" s="582">
        <f t="shared" si="31"/>
        <v>-59.662723348104329</v>
      </c>
      <c r="F102" s="582">
        <f t="shared" si="31"/>
        <v>-24.474275605875253</v>
      </c>
      <c r="G102" s="582">
        <f t="shared" si="31"/>
        <v>61.947595511009361</v>
      </c>
      <c r="H102" s="582">
        <f t="shared" si="31"/>
        <v>27.954633575064182</v>
      </c>
      <c r="I102" s="582">
        <f t="shared" si="31"/>
        <v>11.673423301962004</v>
      </c>
      <c r="J102" s="582">
        <f t="shared" si="31"/>
        <v>0.38968667124500483</v>
      </c>
      <c r="K102" s="582">
        <f t="shared" si="31"/>
        <v>8.9738725411418674</v>
      </c>
      <c r="L102" s="574">
        <f>SUM(D102:INDEX(D102:K102,0,MATCH('RFPR cover'!$C$7,$D$6:$K$6,0)))</f>
        <v>-2.6487464213022927</v>
      </c>
      <c r="M102" s="575">
        <f t="shared" ref="M102:M110" si="32">SUM(D102:K102)</f>
        <v>6.3251261198395747</v>
      </c>
      <c r="N102" s="61"/>
      <c r="O102"/>
      <c r="P102"/>
      <c r="Q102"/>
      <c r="R102"/>
      <c r="S102"/>
      <c r="T102"/>
    </row>
    <row r="103" spans="1:20">
      <c r="A103" s="268" t="s">
        <v>149</v>
      </c>
      <c r="B103" s="224" t="str">
        <f t="shared" si="30"/>
        <v xml:space="preserve">Baseline WiderWorks - Other </v>
      </c>
      <c r="C103" s="154" t="s">
        <v>125</v>
      </c>
      <c r="D103" s="582">
        <f t="shared" si="31"/>
        <v>-21.640320280171558</v>
      </c>
      <c r="E103" s="582">
        <f t="shared" si="31"/>
        <v>-16.253023363289927</v>
      </c>
      <c r="F103" s="582">
        <f t="shared" si="31"/>
        <v>17.316647492729118</v>
      </c>
      <c r="G103" s="582">
        <f t="shared" si="31"/>
        <v>16.75857564879766</v>
      </c>
      <c r="H103" s="582">
        <f t="shared" si="31"/>
        <v>12.729532652832557</v>
      </c>
      <c r="I103" s="582">
        <f t="shared" si="31"/>
        <v>-3.1768439709999985</v>
      </c>
      <c r="J103" s="582">
        <f t="shared" si="31"/>
        <v>-4.6702856474083756</v>
      </c>
      <c r="K103" s="582">
        <f t="shared" si="31"/>
        <v>8.2332840045628644E-2</v>
      </c>
      <c r="L103" s="578">
        <f>SUM(D103:INDEX(D103:K103,0,MATCH('RFPR cover'!$C$7,$D$6:$K$6,0)))</f>
        <v>1.0642825324894751</v>
      </c>
      <c r="M103" s="579">
        <f t="shared" si="32"/>
        <v>1.1466153725351038</v>
      </c>
      <c r="N103" s="61"/>
      <c r="O103"/>
      <c r="P103"/>
      <c r="Q103"/>
      <c r="R103"/>
      <c r="S103"/>
      <c r="T103"/>
    </row>
    <row r="104" spans="1:20">
      <c r="A104" s="268" t="s">
        <v>150</v>
      </c>
      <c r="B104" s="224" t="str">
        <f t="shared" si="30"/>
        <v>Generation Connections (Infrastructure)</v>
      </c>
      <c r="C104" s="154" t="s">
        <v>125</v>
      </c>
      <c r="D104" s="582">
        <f t="shared" si="31"/>
        <v>-59.087277348346298</v>
      </c>
      <c r="E104" s="582">
        <f t="shared" si="31"/>
        <v>-55.825332346832525</v>
      </c>
      <c r="F104" s="582">
        <f t="shared" si="31"/>
        <v>62.702695651227138</v>
      </c>
      <c r="G104" s="582">
        <f t="shared" si="31"/>
        <v>95.892568083228028</v>
      </c>
      <c r="H104" s="582">
        <f t="shared" si="31"/>
        <v>-16.447723467766227</v>
      </c>
      <c r="I104" s="582">
        <f t="shared" si="31"/>
        <v>-65.482751570589045</v>
      </c>
      <c r="J104" s="582">
        <f t="shared" si="31"/>
        <v>-39.744942628666792</v>
      </c>
      <c r="K104" s="582">
        <f t="shared" si="31"/>
        <v>82.314863996384261</v>
      </c>
      <c r="L104" s="578">
        <f>SUM(D104:INDEX(D104:K104,0,MATCH('RFPR cover'!$C$7,$D$6:$K$6,0)))</f>
        <v>-77.992763627745717</v>
      </c>
      <c r="M104" s="579">
        <f t="shared" si="32"/>
        <v>4.3221003686385444</v>
      </c>
      <c r="N104" s="61"/>
      <c r="O104"/>
      <c r="P104"/>
      <c r="Q104"/>
      <c r="R104"/>
      <c r="S104" s="63"/>
      <c r="T104"/>
    </row>
    <row r="105" spans="1:20">
      <c r="A105" s="268" t="s">
        <v>164</v>
      </c>
      <c r="B105" s="224" t="str">
        <f t="shared" si="30"/>
        <v>Connections - Excluded Services</v>
      </c>
      <c r="C105" s="154" t="s">
        <v>125</v>
      </c>
      <c r="D105" s="582">
        <f t="shared" si="31"/>
        <v>-8.969645652549028</v>
      </c>
      <c r="E105" s="582">
        <f t="shared" si="31"/>
        <v>-7.5875702334915438</v>
      </c>
      <c r="F105" s="582">
        <f t="shared" si="31"/>
        <v>3.2979357894494288</v>
      </c>
      <c r="G105" s="582">
        <f t="shared" si="31"/>
        <v>3.5282212911369597</v>
      </c>
      <c r="H105" s="582">
        <f t="shared" si="31"/>
        <v>6.3944446213317574E-2</v>
      </c>
      <c r="I105" s="582">
        <f t="shared" si="31"/>
        <v>-10.029399851021413</v>
      </c>
      <c r="J105" s="582">
        <f t="shared" si="31"/>
        <v>2.1824824034387396</v>
      </c>
      <c r="K105" s="582">
        <f t="shared" si="31"/>
        <v>9.533756544477459</v>
      </c>
      <c r="L105" s="578">
        <f>SUM(D105:INDEX(D105:K105,0,MATCH('RFPR cover'!$C$7,$D$6:$K$6,0)))</f>
        <v>-17.514031806823539</v>
      </c>
      <c r="M105" s="579">
        <f t="shared" si="32"/>
        <v>-7.9802752623460798</v>
      </c>
      <c r="N105" s="61"/>
      <c r="O105"/>
      <c r="P105"/>
      <c r="Q105"/>
      <c r="R105"/>
      <c r="S105"/>
      <c r="T105"/>
    </row>
    <row r="106" spans="1:20">
      <c r="A106" s="268" t="s">
        <v>165</v>
      </c>
      <c r="B106" s="224" t="str">
        <f t="shared" si="30"/>
        <v>Other Load</v>
      </c>
      <c r="C106" s="154" t="s">
        <v>125</v>
      </c>
      <c r="D106" s="582">
        <f t="shared" si="31"/>
        <v>-2.2790667007380194</v>
      </c>
      <c r="E106" s="582">
        <f t="shared" si="31"/>
        <v>-12.23963371644923</v>
      </c>
      <c r="F106" s="582">
        <f t="shared" si="31"/>
        <v>-4.6796986346551055</v>
      </c>
      <c r="G106" s="582">
        <f t="shared" si="31"/>
        <v>17.002320501717932</v>
      </c>
      <c r="H106" s="582">
        <f t="shared" si="31"/>
        <v>7.0501359943623889</v>
      </c>
      <c r="I106" s="582">
        <f t="shared" si="31"/>
        <v>1.0765974239414622</v>
      </c>
      <c r="J106" s="582">
        <f t="shared" si="31"/>
        <v>-9.6539383564406211</v>
      </c>
      <c r="K106" s="582">
        <f t="shared" si="31"/>
        <v>4.2850315980556148</v>
      </c>
      <c r="L106" s="578">
        <f>SUM(D106:INDEX(D106:K106,0,MATCH('RFPR cover'!$C$7,$D$6:$K$6,0)))</f>
        <v>-3.7232834882611927</v>
      </c>
      <c r="M106" s="579">
        <f t="shared" si="32"/>
        <v>0.56174810979442213</v>
      </c>
      <c r="N106" s="61"/>
      <c r="O106"/>
      <c r="P106"/>
      <c r="Q106"/>
      <c r="R106"/>
      <c r="S106"/>
      <c r="T106"/>
    </row>
    <row r="107" spans="1:20">
      <c r="A107" s="268" t="s">
        <v>166</v>
      </c>
      <c r="B107" s="224" t="str">
        <f t="shared" si="30"/>
        <v>Asset Replacement</v>
      </c>
      <c r="C107" s="154" t="s">
        <v>125</v>
      </c>
      <c r="D107" s="582">
        <f t="shared" si="31"/>
        <v>35.162887456661061</v>
      </c>
      <c r="E107" s="582">
        <f t="shared" si="31"/>
        <v>21.084405458385135</v>
      </c>
      <c r="F107" s="582">
        <f t="shared" si="31"/>
        <v>-17.246835697487391</v>
      </c>
      <c r="G107" s="582">
        <f t="shared" si="31"/>
        <v>1.3150457431274116</v>
      </c>
      <c r="H107" s="582">
        <f t="shared" si="31"/>
        <v>-16.719284877203485</v>
      </c>
      <c r="I107" s="582">
        <f t="shared" si="31"/>
        <v>-23.952873241566081</v>
      </c>
      <c r="J107" s="582">
        <f t="shared" si="31"/>
        <v>-32.633137326891116</v>
      </c>
      <c r="K107" s="582">
        <f t="shared" si="31"/>
        <v>28.988477292843719</v>
      </c>
      <c r="L107" s="582">
        <f>SUM(D107:INDEX(D107:K107,0,MATCH('RFPR cover'!$C$7,$D$6:$K$6,0)))</f>
        <v>-32.989792484974465</v>
      </c>
      <c r="M107" s="583">
        <f t="shared" si="32"/>
        <v>-4.0013151921307468</v>
      </c>
      <c r="N107" s="61"/>
      <c r="O107"/>
      <c r="P107"/>
      <c r="Q107"/>
      <c r="R107"/>
      <c r="S107"/>
      <c r="T107"/>
    </row>
    <row r="108" spans="1:20">
      <c r="A108" s="268" t="s">
        <v>461</v>
      </c>
      <c r="B108" s="224" t="str">
        <f t="shared" si="30"/>
        <v>Other Non-Load and Non-Op Capex</v>
      </c>
      <c r="C108" s="154" t="s">
        <v>125</v>
      </c>
      <c r="D108" s="582">
        <f t="shared" ref="D108:K108" si="33">D28*D$88</f>
        <v>-10.960569644640971</v>
      </c>
      <c r="E108" s="582">
        <f t="shared" si="33"/>
        <v>-10.176782256991542</v>
      </c>
      <c r="F108" s="582">
        <f t="shared" si="33"/>
        <v>-5.0335931946963886</v>
      </c>
      <c r="G108" s="582">
        <f t="shared" si="33"/>
        <v>-12.598238350526572</v>
      </c>
      <c r="H108" s="582">
        <f t="shared" si="33"/>
        <v>-16.053889753481094</v>
      </c>
      <c r="I108" s="582">
        <f t="shared" si="33"/>
        <v>1.4863606607714308</v>
      </c>
      <c r="J108" s="582">
        <f t="shared" si="33"/>
        <v>24.231311987872228</v>
      </c>
      <c r="K108" s="582">
        <f t="shared" si="33"/>
        <v>35.714524985974194</v>
      </c>
      <c r="L108" s="582">
        <f>SUM(D108:INDEX(D108:K108,0,MATCH('RFPR cover'!$C$7,$D$6:$K$6,0)))</f>
        <v>-29.105400551692906</v>
      </c>
      <c r="M108" s="583">
        <f t="shared" ref="M108:M109" si="34">SUM(D108:K108)</f>
        <v>6.6091244342812878</v>
      </c>
      <c r="N108" s="61"/>
      <c r="O108"/>
      <c r="P108"/>
      <c r="Q108"/>
      <c r="R108"/>
      <c r="S108"/>
      <c r="T108"/>
    </row>
    <row r="109" spans="1:20">
      <c r="A109" s="268" t="s">
        <v>559</v>
      </c>
      <c r="B109" s="224" t="str">
        <f t="shared" si="30"/>
        <v>Controllable Opex</v>
      </c>
      <c r="C109" s="154" t="s">
        <v>125</v>
      </c>
      <c r="D109" s="582">
        <f t="shared" ref="D109:K109" si="35">D29*D$88</f>
        <v>-2.2925500082864518</v>
      </c>
      <c r="E109" s="582">
        <f t="shared" si="35"/>
        <v>-2.402659359966195</v>
      </c>
      <c r="F109" s="582">
        <f t="shared" si="35"/>
        <v>-0.92934898912426211</v>
      </c>
      <c r="G109" s="582">
        <f t="shared" si="35"/>
        <v>-1.334973201055665</v>
      </c>
      <c r="H109" s="582">
        <f t="shared" si="35"/>
        <v>-6.2515639588772922</v>
      </c>
      <c r="I109" s="582">
        <f t="shared" si="35"/>
        <v>-0.84615739750969521</v>
      </c>
      <c r="J109" s="582">
        <f t="shared" si="35"/>
        <v>9.4109213540462555</v>
      </c>
      <c r="K109" s="582">
        <f t="shared" si="35"/>
        <v>6.0864412721677486</v>
      </c>
      <c r="L109" s="582">
        <f>SUM(D109:INDEX(D109:K109,0,MATCH('RFPR cover'!$C$7,$D$6:$K$6,0)))</f>
        <v>-4.6463315607733051</v>
      </c>
      <c r="M109" s="583">
        <f t="shared" si="34"/>
        <v>1.4401097113944434</v>
      </c>
      <c r="N109" s="61"/>
      <c r="O109"/>
      <c r="P109"/>
      <c r="Q109"/>
      <c r="R109"/>
      <c r="S109"/>
      <c r="T109"/>
    </row>
    <row r="110" spans="1:20">
      <c r="A110" s="33"/>
      <c r="B110" s="774" t="s">
        <v>186</v>
      </c>
      <c r="C110" s="154" t="s">
        <v>125</v>
      </c>
      <c r="D110" s="101">
        <f>SUM(D102:D109)</f>
        <v>-90.543628704674532</v>
      </c>
      <c r="E110" s="102">
        <f t="shared" ref="E110:K110" si="36">SUM(E102:E109)</f>
        <v>-143.06331916674014</v>
      </c>
      <c r="F110" s="102">
        <f t="shared" si="36"/>
        <v>30.953526811567283</v>
      </c>
      <c r="G110" s="102">
        <f t="shared" si="36"/>
        <v>182.51111522743506</v>
      </c>
      <c r="H110" s="102">
        <f t="shared" si="36"/>
        <v>-7.6742153888556546</v>
      </c>
      <c r="I110" s="102">
        <f t="shared" si="36"/>
        <v>-89.251644645011339</v>
      </c>
      <c r="J110" s="102">
        <f t="shared" si="36"/>
        <v>-50.487901542804678</v>
      </c>
      <c r="K110" s="103">
        <f t="shared" si="36"/>
        <v>175.9793010710905</v>
      </c>
      <c r="L110" s="101">
        <f>SUM(D110:INDEX(D110:K110,0,MATCH('RFPR cover'!$C$7,$D$6:$K$6,0)))</f>
        <v>-167.55606740908399</v>
      </c>
      <c r="M110" s="103">
        <f t="shared" si="32"/>
        <v>8.4232336620065098</v>
      </c>
      <c r="N110" s="61"/>
    </row>
    <row r="111" spans="1:20">
      <c r="A111" s="33"/>
      <c r="B111" s="766"/>
    </row>
    <row r="112" spans="1:20">
      <c r="A112" s="33"/>
      <c r="B112" s="773" t="s">
        <v>194</v>
      </c>
      <c r="C112" s="154" t="s">
        <v>125</v>
      </c>
      <c r="D112" s="94">
        <f t="shared" ref="D112:K112" si="37">D110*D96</f>
        <v>-45.271814352337266</v>
      </c>
      <c r="E112" s="95">
        <f t="shared" si="37"/>
        <v>-71.531659583370072</v>
      </c>
      <c r="F112" s="95">
        <f t="shared" si="37"/>
        <v>15.476763405783641</v>
      </c>
      <c r="G112" s="95">
        <f t="shared" si="37"/>
        <v>91.255557613717528</v>
      </c>
      <c r="H112" s="95">
        <f t="shared" si="37"/>
        <v>-3.8371076944278273</v>
      </c>
      <c r="I112" s="95">
        <f t="shared" si="37"/>
        <v>-44.62582232250567</v>
      </c>
      <c r="J112" s="95">
        <f t="shared" si="37"/>
        <v>-25.243950771402339</v>
      </c>
      <c r="K112" s="95">
        <f t="shared" si="37"/>
        <v>87.989650535545252</v>
      </c>
      <c r="L112" s="94">
        <f>SUM(D112:INDEX(D112:K112,0,MATCH('RFPR cover'!$C$7,$D$6:$K$6,0)))</f>
        <v>-83.778033704541997</v>
      </c>
      <c r="M112" s="96">
        <f>SUM(D112:K112)</f>
        <v>4.2116168310032549</v>
      </c>
    </row>
    <row r="113" spans="1:20">
      <c r="A113" s="33"/>
      <c r="B113" s="773" t="s">
        <v>304</v>
      </c>
      <c r="C113" s="154" t="s">
        <v>125</v>
      </c>
      <c r="D113" s="91">
        <f t="shared" ref="D113:K113" si="38">D110*(1-D96)</f>
        <v>-45.271814352337266</v>
      </c>
      <c r="E113" s="92">
        <f t="shared" si="38"/>
        <v>-71.531659583370072</v>
      </c>
      <c r="F113" s="92">
        <f t="shared" si="38"/>
        <v>15.476763405783641</v>
      </c>
      <c r="G113" s="92">
        <f t="shared" si="38"/>
        <v>91.255557613717528</v>
      </c>
      <c r="H113" s="92">
        <f t="shared" si="38"/>
        <v>-3.8371076944278273</v>
      </c>
      <c r="I113" s="92">
        <f t="shared" si="38"/>
        <v>-44.62582232250567</v>
      </c>
      <c r="J113" s="92">
        <f t="shared" si="38"/>
        <v>-25.243950771402339</v>
      </c>
      <c r="K113" s="92">
        <f t="shared" si="38"/>
        <v>87.989650535545252</v>
      </c>
      <c r="L113" s="91">
        <f>SUM(D113:INDEX(D113:K113,0,MATCH('RFPR cover'!$C$7,$D$6:$K$6,0)))</f>
        <v>-83.778033704541997</v>
      </c>
      <c r="M113" s="93">
        <f>SUM(D113:K113)</f>
        <v>4.2116168310032549</v>
      </c>
    </row>
    <row r="114" spans="1:20">
      <c r="A114" s="33"/>
      <c r="B114" s="766"/>
    </row>
    <row r="115" spans="1:20">
      <c r="A115" s="33"/>
      <c r="B115" s="774" t="s">
        <v>177</v>
      </c>
    </row>
    <row r="116" spans="1:20">
      <c r="A116" s="33"/>
      <c r="B116" s="766" t="s">
        <v>176</v>
      </c>
      <c r="C116" s="154" t="s">
        <v>125</v>
      </c>
      <c r="D116" s="94">
        <f>D98+D112</f>
        <v>17.225528772145488</v>
      </c>
      <c r="E116" s="95">
        <f t="shared" ref="E116:K116" si="39">E98+E112</f>
        <v>21.521497341771521</v>
      </c>
      <c r="F116" s="95">
        <f t="shared" si="39"/>
        <v>14.88642150974975</v>
      </c>
      <c r="G116" s="95">
        <f t="shared" si="39"/>
        <v>8.9556684264691029</v>
      </c>
      <c r="H116" s="95">
        <f t="shared" si="39"/>
        <v>0.17722339127934239</v>
      </c>
      <c r="I116" s="95">
        <f t="shared" si="39"/>
        <v>-0.12553167456695746</v>
      </c>
      <c r="J116" s="95">
        <f t="shared" si="39"/>
        <v>-4.5358863895669401</v>
      </c>
      <c r="K116" s="95">
        <f t="shared" si="39"/>
        <v>0.39632828201389714</v>
      </c>
      <c r="L116" s="94">
        <f>SUM(D116:INDEX(D116:K116,0,MATCH('RFPR cover'!$C$7,$D$6:$K$6,0)))</f>
        <v>58.104921377281308</v>
      </c>
      <c r="M116" s="96">
        <f>SUM(D116:K116)</f>
        <v>58.501249659295205</v>
      </c>
    </row>
    <row r="117" spans="1:20">
      <c r="A117" s="33"/>
      <c r="B117" s="766" t="s">
        <v>275</v>
      </c>
      <c r="C117" s="154" t="s">
        <v>125</v>
      </c>
      <c r="D117" s="511">
        <f>D99+D113</f>
        <v>17.225528772145488</v>
      </c>
      <c r="E117" s="512">
        <f t="shared" ref="E117:K117" si="40">E99+E113</f>
        <v>21.521497341771521</v>
      </c>
      <c r="F117" s="512">
        <f t="shared" si="40"/>
        <v>14.88642150974975</v>
      </c>
      <c r="G117" s="512">
        <f t="shared" si="40"/>
        <v>8.9556684264691029</v>
      </c>
      <c r="H117" s="512">
        <f t="shared" si="40"/>
        <v>0.17722339127934239</v>
      </c>
      <c r="I117" s="512">
        <f t="shared" si="40"/>
        <v>-0.12553167456695746</v>
      </c>
      <c r="J117" s="512">
        <f t="shared" si="40"/>
        <v>-4.5358863895669401</v>
      </c>
      <c r="K117" s="512">
        <f t="shared" si="40"/>
        <v>0.39632828201389714</v>
      </c>
      <c r="L117" s="511">
        <f>SUM(D117:INDEX(D117:K117,0,MATCH('RFPR cover'!$C$7,$D$6:$K$6,0)))</f>
        <v>58.104921377281308</v>
      </c>
      <c r="M117" s="513">
        <f>SUM(D117:K117)</f>
        <v>58.501249659295205</v>
      </c>
    </row>
    <row r="118" spans="1:20">
      <c r="A118" s="33"/>
      <c r="B118" s="774" t="s">
        <v>11</v>
      </c>
      <c r="C118" s="155" t="s">
        <v>125</v>
      </c>
      <c r="D118" s="144">
        <f>SUM(D116:D117)</f>
        <v>34.451057544290975</v>
      </c>
      <c r="E118" s="145">
        <f t="shared" ref="E118:K118" si="41">SUM(E116:E117)</f>
        <v>43.042994683543043</v>
      </c>
      <c r="F118" s="145">
        <f t="shared" si="41"/>
        <v>29.772843019499501</v>
      </c>
      <c r="G118" s="145">
        <f t="shared" si="41"/>
        <v>17.911336852938206</v>
      </c>
      <c r="H118" s="145">
        <f t="shared" si="41"/>
        <v>0.35444678255868478</v>
      </c>
      <c r="I118" s="145">
        <f t="shared" si="41"/>
        <v>-0.25106334913391493</v>
      </c>
      <c r="J118" s="145">
        <f t="shared" si="41"/>
        <v>-9.0717727791338802</v>
      </c>
      <c r="K118" s="145">
        <f t="shared" si="41"/>
        <v>0.79265656402779427</v>
      </c>
      <c r="L118" s="144">
        <f>SUM(D118:INDEX(D118:K118,0,MATCH('RFPR cover'!$C$7,$D$6:$K$6,0)))</f>
        <v>116.20984275456262</v>
      </c>
      <c r="M118" s="146">
        <f>SUM(D118:K118)</f>
        <v>117.00249931859041</v>
      </c>
    </row>
    <row r="119" spans="1:20">
      <c r="A119" s="33"/>
      <c r="B119" s="766"/>
    </row>
    <row r="120" spans="1:20">
      <c r="A120" s="33"/>
      <c r="B120" s="769" t="str">
        <f>B40</f>
        <v>n/a</v>
      </c>
      <c r="C120" s="149"/>
      <c r="D120" s="80"/>
      <c r="E120" s="80"/>
      <c r="F120" s="80"/>
      <c r="G120" s="80"/>
      <c r="H120" s="80"/>
      <c r="I120" s="80"/>
      <c r="J120" s="80"/>
      <c r="K120" s="80"/>
      <c r="L120" s="80"/>
      <c r="M120" s="80"/>
      <c r="N120" s="80"/>
    </row>
    <row r="121" spans="1:20" s="33" customFormat="1">
      <c r="B121" s="767"/>
      <c r="C121" s="137"/>
      <c r="D121" s="314"/>
      <c r="E121" s="314"/>
      <c r="F121" s="314"/>
      <c r="G121" s="314"/>
      <c r="H121" s="314"/>
      <c r="I121" s="314"/>
      <c r="J121" s="314"/>
      <c r="K121" s="314"/>
      <c r="L121" s="314"/>
      <c r="M121" s="314"/>
      <c r="N121" s="314"/>
    </row>
    <row r="122" spans="1:20">
      <c r="A122" s="33"/>
      <c r="B122" s="302" t="s">
        <v>32</v>
      </c>
      <c r="C122" s="154" t="s">
        <v>125</v>
      </c>
      <c r="D122" s="661">
        <f t="shared" ref="D122:K123" si="42">D42*D$88</f>
        <v>0</v>
      </c>
      <c r="E122" s="661">
        <f t="shared" si="42"/>
        <v>0</v>
      </c>
      <c r="F122" s="661">
        <f t="shared" si="42"/>
        <v>0</v>
      </c>
      <c r="G122" s="661">
        <f t="shared" si="42"/>
        <v>0</v>
      </c>
      <c r="H122" s="661">
        <f t="shared" si="42"/>
        <v>0</v>
      </c>
      <c r="I122" s="661">
        <f t="shared" si="42"/>
        <v>0</v>
      </c>
      <c r="J122" s="661">
        <f t="shared" si="42"/>
        <v>0</v>
      </c>
      <c r="K122" s="661">
        <f t="shared" si="42"/>
        <v>0</v>
      </c>
      <c r="L122" s="661">
        <f>SUM(D122:INDEX(D122:K122,0,MATCH('RFPR cover'!$C$7,$D$6:$K$6,0)))</f>
        <v>0</v>
      </c>
      <c r="M122" s="662">
        <f>SUM(D122:K122)</f>
        <v>0</v>
      </c>
      <c r="N122" s="61"/>
      <c r="O122" s="61"/>
    </row>
    <row r="123" spans="1:20" ht="25.5">
      <c r="A123" s="33"/>
      <c r="B123" s="771" t="s">
        <v>193</v>
      </c>
      <c r="C123" s="154" t="s">
        <v>125</v>
      </c>
      <c r="D123" s="661">
        <f t="shared" si="42"/>
        <v>0</v>
      </c>
      <c r="E123" s="661">
        <f t="shared" si="42"/>
        <v>0</v>
      </c>
      <c r="F123" s="661">
        <f t="shared" si="42"/>
        <v>0</v>
      </c>
      <c r="G123" s="661">
        <f t="shared" si="42"/>
        <v>0</v>
      </c>
      <c r="H123" s="661">
        <f t="shared" si="42"/>
        <v>0</v>
      </c>
      <c r="I123" s="661">
        <f t="shared" si="42"/>
        <v>0</v>
      </c>
      <c r="J123" s="661">
        <f t="shared" si="42"/>
        <v>0</v>
      </c>
      <c r="K123" s="661">
        <f t="shared" si="42"/>
        <v>0</v>
      </c>
      <c r="L123" s="663">
        <f>SUM(D123:INDEX(D123:K123,0,MATCH('RFPR cover'!$C$7,$D$6:$K$6,0)))</f>
        <v>0</v>
      </c>
      <c r="M123" s="664">
        <f>SUM(D123:K123)</f>
        <v>0</v>
      </c>
      <c r="N123" s="61"/>
      <c r="O123" s="61"/>
    </row>
    <row r="124" spans="1:20">
      <c r="A124" s="33"/>
      <c r="B124" s="772" t="s">
        <v>191</v>
      </c>
      <c r="C124" s="154" t="s">
        <v>125</v>
      </c>
      <c r="D124" s="101">
        <f>D123-D122</f>
        <v>0</v>
      </c>
      <c r="E124" s="102">
        <f t="shared" ref="E124:M124" si="43">E123-E122</f>
        <v>0</v>
      </c>
      <c r="F124" s="102">
        <f t="shared" si="43"/>
        <v>0</v>
      </c>
      <c r="G124" s="102">
        <f t="shared" si="43"/>
        <v>0</v>
      </c>
      <c r="H124" s="102">
        <f t="shared" si="43"/>
        <v>0</v>
      </c>
      <c r="I124" s="102">
        <f t="shared" si="43"/>
        <v>0</v>
      </c>
      <c r="J124" s="102">
        <f t="shared" si="43"/>
        <v>0</v>
      </c>
      <c r="K124" s="102">
        <f t="shared" si="43"/>
        <v>0</v>
      </c>
      <c r="L124" s="101">
        <f t="shared" si="43"/>
        <v>0</v>
      </c>
      <c r="M124" s="103">
        <f t="shared" si="43"/>
        <v>0</v>
      </c>
      <c r="N124" s="61"/>
      <c r="O124" s="992"/>
      <c r="P124" s="992"/>
      <c r="Q124" s="992"/>
      <c r="R124"/>
      <c r="S124"/>
      <c r="T124"/>
    </row>
    <row r="125" spans="1:20">
      <c r="A125" s="33"/>
      <c r="B125" s="772"/>
      <c r="C125" s="154"/>
      <c r="D125" s="57"/>
      <c r="E125" s="57"/>
      <c r="F125" s="57"/>
      <c r="G125" s="57"/>
      <c r="H125" s="57"/>
      <c r="I125" s="57"/>
      <c r="J125" s="57"/>
      <c r="K125" s="57"/>
      <c r="L125" s="57"/>
      <c r="M125" s="57"/>
      <c r="O125" s="62"/>
      <c r="P125" s="62"/>
      <c r="Q125" s="62"/>
      <c r="R125"/>
      <c r="S125"/>
      <c r="T125"/>
    </row>
    <row r="126" spans="1:20">
      <c r="A126" s="33"/>
      <c r="B126" s="766" t="s">
        <v>174</v>
      </c>
      <c r="C126" s="135" t="s">
        <v>7</v>
      </c>
      <c r="D126" s="108">
        <f>1-INDEX(Data!$D$73:$D$100,MATCH('RFPR cover'!$C$5,Data!$B$73:$B$100,0),0)</f>
        <v>0.5</v>
      </c>
      <c r="E126" s="109">
        <f>1-INDEX(Data!$D$73:$D$100,MATCH('RFPR cover'!$C$5,Data!$B$73:$B$100,0),0)</f>
        <v>0.5</v>
      </c>
      <c r="F126" s="109">
        <f>1-INDEX(Data!$D$73:$D$100,MATCH('RFPR cover'!$C$5,Data!$B$73:$B$100,0),0)</f>
        <v>0.5</v>
      </c>
      <c r="G126" s="109">
        <f>1-INDEX(Data!$D$73:$D$100,MATCH('RFPR cover'!$C$5,Data!$B$73:$B$100,0),0)</f>
        <v>0.5</v>
      </c>
      <c r="H126" s="109">
        <f>1-INDEX(Data!$D$73:$D$100,MATCH('RFPR cover'!$C$5,Data!$B$73:$B$100,0),0)</f>
        <v>0.5</v>
      </c>
      <c r="I126" s="109">
        <f>1-INDEX(Data!$D$73:$D$100,MATCH('RFPR cover'!$C$5,Data!$B$73:$B$100,0),0)</f>
        <v>0.5</v>
      </c>
      <c r="J126" s="109">
        <f>1-INDEX(Data!$D$73:$D$100,MATCH('RFPR cover'!$C$5,Data!$B$73:$B$100,0),0)</f>
        <v>0.5</v>
      </c>
      <c r="K126" s="110">
        <f>1-INDEX(Data!$D$73:$D$100,MATCH('RFPR cover'!$C$5,Data!$B$73:$B$100,0),0)</f>
        <v>0.5</v>
      </c>
      <c r="L126" s="60"/>
      <c r="M126" s="60"/>
      <c r="O126"/>
      <c r="P126"/>
      <c r="Q126"/>
      <c r="R126"/>
      <c r="S126"/>
      <c r="T126"/>
    </row>
    <row r="127" spans="1:20">
      <c r="A127" s="33"/>
      <c r="B127" s="766"/>
      <c r="O127"/>
      <c r="P127"/>
      <c r="Q127"/>
      <c r="R127"/>
      <c r="S127"/>
      <c r="T127"/>
    </row>
    <row r="128" spans="1:20">
      <c r="A128" s="33"/>
      <c r="B128" s="773" t="s">
        <v>179</v>
      </c>
      <c r="C128" s="158" t="s">
        <v>125</v>
      </c>
      <c r="D128" s="94">
        <f>D124*D126</f>
        <v>0</v>
      </c>
      <c r="E128" s="95">
        <f t="shared" ref="E128:K128" si="44">E124*E126</f>
        <v>0</v>
      </c>
      <c r="F128" s="95">
        <f t="shared" si="44"/>
        <v>0</v>
      </c>
      <c r="G128" s="95">
        <f t="shared" si="44"/>
        <v>0</v>
      </c>
      <c r="H128" s="95">
        <f t="shared" si="44"/>
        <v>0</v>
      </c>
      <c r="I128" s="95">
        <f t="shared" si="44"/>
        <v>0</v>
      </c>
      <c r="J128" s="95">
        <f t="shared" si="44"/>
        <v>0</v>
      </c>
      <c r="K128" s="95">
        <f t="shared" si="44"/>
        <v>0</v>
      </c>
      <c r="L128" s="94">
        <f>SUM(D128:INDEX(D128:K128,0,MATCH('RFPR cover'!$C$7,$D$6:$K$6,0)))</f>
        <v>0</v>
      </c>
      <c r="M128" s="96">
        <f>SUM(D128:K128)</f>
        <v>0</v>
      </c>
      <c r="O128"/>
      <c r="P128"/>
      <c r="Q128"/>
      <c r="R128"/>
      <c r="S128"/>
      <c r="T128"/>
    </row>
    <row r="129" spans="1:20">
      <c r="A129" s="33"/>
      <c r="B129" s="773" t="s">
        <v>175</v>
      </c>
      <c r="C129" s="158" t="s">
        <v>125</v>
      </c>
      <c r="D129" s="91">
        <f>D124*(1-D126)</f>
        <v>0</v>
      </c>
      <c r="E129" s="92">
        <f t="shared" ref="E129:K129" si="45">E124*(1-E126)</f>
        <v>0</v>
      </c>
      <c r="F129" s="92">
        <f t="shared" si="45"/>
        <v>0</v>
      </c>
      <c r="G129" s="92">
        <f t="shared" si="45"/>
        <v>0</v>
      </c>
      <c r="H129" s="92">
        <f t="shared" si="45"/>
        <v>0</v>
      </c>
      <c r="I129" s="92">
        <f t="shared" si="45"/>
        <v>0</v>
      </c>
      <c r="J129" s="92">
        <f t="shared" si="45"/>
        <v>0</v>
      </c>
      <c r="K129" s="92">
        <f t="shared" si="45"/>
        <v>0</v>
      </c>
      <c r="L129" s="91">
        <f>SUM(D129:INDEX(D129:K129,0,MATCH('RFPR cover'!$C$7,$D$6:$K$6,0)))</f>
        <v>0</v>
      </c>
      <c r="M129" s="93">
        <f>SUM(D129:K129)</f>
        <v>0</v>
      </c>
      <c r="O129"/>
      <c r="P129"/>
      <c r="Q129"/>
      <c r="R129"/>
      <c r="S129"/>
      <c r="T129"/>
    </row>
    <row r="130" spans="1:20">
      <c r="A130" s="33"/>
      <c r="B130" s="766"/>
      <c r="O130"/>
      <c r="P130"/>
      <c r="Q130"/>
      <c r="R130"/>
      <c r="S130"/>
      <c r="T130"/>
    </row>
    <row r="131" spans="1:20">
      <c r="A131" s="33"/>
      <c r="B131" s="774" t="s">
        <v>178</v>
      </c>
      <c r="N131" s="61"/>
      <c r="O131"/>
      <c r="P131"/>
      <c r="Q131"/>
      <c r="R131"/>
      <c r="S131"/>
      <c r="T131"/>
    </row>
    <row r="132" spans="1:20">
      <c r="A132" s="268" t="s">
        <v>148</v>
      </c>
      <c r="B132" s="224" t="str">
        <f t="shared" ref="B132:B137" si="46">B52</f>
        <v>[Enduring Value adjustment]</v>
      </c>
      <c r="C132" s="154" t="s">
        <v>125</v>
      </c>
      <c r="D132" s="574">
        <f t="shared" ref="D132:K137" si="47">D52*D$88</f>
        <v>0</v>
      </c>
      <c r="E132" s="574">
        <f t="shared" si="47"/>
        <v>0</v>
      </c>
      <c r="F132" s="574">
        <f t="shared" si="47"/>
        <v>0</v>
      </c>
      <c r="G132" s="574">
        <f t="shared" si="47"/>
        <v>0</v>
      </c>
      <c r="H132" s="574">
        <f t="shared" si="47"/>
        <v>0</v>
      </c>
      <c r="I132" s="574">
        <f t="shared" si="47"/>
        <v>0</v>
      </c>
      <c r="J132" s="574">
        <f t="shared" si="47"/>
        <v>0</v>
      </c>
      <c r="K132" s="574">
        <f t="shared" si="47"/>
        <v>0</v>
      </c>
      <c r="L132" s="574">
        <f>SUM(D132:INDEX(D132:K132,0,MATCH('RFPR cover'!$C$7,$D$6:$K$6,0)))</f>
        <v>0</v>
      </c>
      <c r="M132" s="575">
        <f t="shared" ref="M132:M138" si="48">SUM(D132:K132)</f>
        <v>0</v>
      </c>
      <c r="N132" s="61"/>
      <c r="O132"/>
      <c r="P132"/>
      <c r="Q132"/>
      <c r="R132"/>
      <c r="S132"/>
      <c r="T132"/>
    </row>
    <row r="133" spans="1:20">
      <c r="A133" s="268" t="s">
        <v>149</v>
      </c>
      <c r="B133" s="224" t="str">
        <f t="shared" si="46"/>
        <v>[Enduring Value adjustment]</v>
      </c>
      <c r="C133" s="154" t="s">
        <v>125</v>
      </c>
      <c r="D133" s="574">
        <f t="shared" si="47"/>
        <v>0</v>
      </c>
      <c r="E133" s="574">
        <f t="shared" si="47"/>
        <v>0</v>
      </c>
      <c r="F133" s="574">
        <f t="shared" si="47"/>
        <v>0</v>
      </c>
      <c r="G133" s="574">
        <f t="shared" si="47"/>
        <v>0</v>
      </c>
      <c r="H133" s="574">
        <f t="shared" si="47"/>
        <v>0</v>
      </c>
      <c r="I133" s="574">
        <f t="shared" si="47"/>
        <v>0</v>
      </c>
      <c r="J133" s="574">
        <f t="shared" si="47"/>
        <v>0</v>
      </c>
      <c r="K133" s="574">
        <f t="shared" si="47"/>
        <v>0</v>
      </c>
      <c r="L133" s="578">
        <f>SUM(D133:INDEX(D133:K133,0,MATCH('RFPR cover'!$C$7,$D$6:$K$6,0)))</f>
        <v>0</v>
      </c>
      <c r="M133" s="579">
        <f t="shared" si="48"/>
        <v>0</v>
      </c>
      <c r="N133" s="61"/>
      <c r="O133"/>
      <c r="P133"/>
      <c r="Q133"/>
      <c r="R133"/>
      <c r="S133"/>
      <c r="T133"/>
    </row>
    <row r="134" spans="1:20">
      <c r="A134" s="268" t="s">
        <v>150</v>
      </c>
      <c r="B134" s="224" t="str">
        <f t="shared" si="46"/>
        <v>[Enduring Value adjustment]</v>
      </c>
      <c r="C134" s="154" t="s">
        <v>125</v>
      </c>
      <c r="D134" s="574">
        <f t="shared" si="47"/>
        <v>0</v>
      </c>
      <c r="E134" s="574">
        <f t="shared" si="47"/>
        <v>0</v>
      </c>
      <c r="F134" s="574">
        <f t="shared" si="47"/>
        <v>0</v>
      </c>
      <c r="G134" s="574">
        <f t="shared" si="47"/>
        <v>0</v>
      </c>
      <c r="H134" s="574">
        <f t="shared" si="47"/>
        <v>0</v>
      </c>
      <c r="I134" s="574">
        <f t="shared" si="47"/>
        <v>0</v>
      </c>
      <c r="J134" s="574">
        <f t="shared" si="47"/>
        <v>0</v>
      </c>
      <c r="K134" s="574">
        <f t="shared" si="47"/>
        <v>0</v>
      </c>
      <c r="L134" s="578">
        <f>SUM(D134:INDEX(D134:K134,0,MATCH('RFPR cover'!$C$7,$D$6:$K$6,0)))</f>
        <v>0</v>
      </c>
      <c r="M134" s="579">
        <f t="shared" si="48"/>
        <v>0</v>
      </c>
      <c r="N134" s="61"/>
      <c r="O134"/>
      <c r="P134"/>
      <c r="Q134"/>
      <c r="R134"/>
      <c r="S134" s="63"/>
      <c r="T134"/>
    </row>
    <row r="135" spans="1:20">
      <c r="A135" s="268" t="s">
        <v>164</v>
      </c>
      <c r="B135" s="224" t="str">
        <f t="shared" si="46"/>
        <v>[Enduring Value adjustment]</v>
      </c>
      <c r="C135" s="154" t="s">
        <v>125</v>
      </c>
      <c r="D135" s="574">
        <f t="shared" si="47"/>
        <v>0</v>
      </c>
      <c r="E135" s="574">
        <f t="shared" si="47"/>
        <v>0</v>
      </c>
      <c r="F135" s="574">
        <f t="shared" si="47"/>
        <v>0</v>
      </c>
      <c r="G135" s="574">
        <f t="shared" si="47"/>
        <v>0</v>
      </c>
      <c r="H135" s="574">
        <f t="shared" si="47"/>
        <v>0</v>
      </c>
      <c r="I135" s="574">
        <f t="shared" si="47"/>
        <v>0</v>
      </c>
      <c r="J135" s="574">
        <f t="shared" si="47"/>
        <v>0</v>
      </c>
      <c r="K135" s="574">
        <f t="shared" si="47"/>
        <v>0</v>
      </c>
      <c r="L135" s="578">
        <f>SUM(D135:INDEX(D135:K135,0,MATCH('RFPR cover'!$C$7,$D$6:$K$6,0)))</f>
        <v>0</v>
      </c>
      <c r="M135" s="579">
        <f t="shared" si="48"/>
        <v>0</v>
      </c>
      <c r="N135" s="61"/>
      <c r="O135"/>
      <c r="P135"/>
      <c r="Q135"/>
      <c r="R135"/>
      <c r="S135"/>
      <c r="T135"/>
    </row>
    <row r="136" spans="1:20">
      <c r="A136" s="268" t="s">
        <v>165</v>
      </c>
      <c r="B136" s="224" t="str">
        <f t="shared" si="46"/>
        <v>[Enduring Value adjustment]</v>
      </c>
      <c r="C136" s="154" t="s">
        <v>125</v>
      </c>
      <c r="D136" s="574">
        <f t="shared" si="47"/>
        <v>0</v>
      </c>
      <c r="E136" s="574">
        <f t="shared" si="47"/>
        <v>0</v>
      </c>
      <c r="F136" s="574">
        <f t="shared" si="47"/>
        <v>0</v>
      </c>
      <c r="G136" s="574">
        <f t="shared" si="47"/>
        <v>0</v>
      </c>
      <c r="H136" s="574">
        <f t="shared" si="47"/>
        <v>0</v>
      </c>
      <c r="I136" s="574">
        <f t="shared" si="47"/>
        <v>0</v>
      </c>
      <c r="J136" s="574">
        <f t="shared" si="47"/>
        <v>0</v>
      </c>
      <c r="K136" s="574">
        <f t="shared" si="47"/>
        <v>0</v>
      </c>
      <c r="L136" s="578">
        <f>SUM(D136:INDEX(D136:K136,0,MATCH('RFPR cover'!$C$7,$D$6:$K$6,0)))</f>
        <v>0</v>
      </c>
      <c r="M136" s="579">
        <f t="shared" si="48"/>
        <v>0</v>
      </c>
      <c r="N136" s="61"/>
      <c r="O136"/>
      <c r="P136"/>
      <c r="Q136"/>
      <c r="R136"/>
      <c r="S136"/>
      <c r="T136"/>
    </row>
    <row r="137" spans="1:20">
      <c r="A137" s="268" t="s">
        <v>166</v>
      </c>
      <c r="B137" s="224" t="str">
        <f t="shared" si="46"/>
        <v>[Enduring Value adjustment]</v>
      </c>
      <c r="C137" s="154" t="s">
        <v>125</v>
      </c>
      <c r="D137" s="574">
        <f t="shared" si="47"/>
        <v>0</v>
      </c>
      <c r="E137" s="574">
        <f t="shared" si="47"/>
        <v>0</v>
      </c>
      <c r="F137" s="574">
        <f t="shared" si="47"/>
        <v>0</v>
      </c>
      <c r="G137" s="574">
        <f t="shared" si="47"/>
        <v>0</v>
      </c>
      <c r="H137" s="574">
        <f t="shared" si="47"/>
        <v>0</v>
      </c>
      <c r="I137" s="574">
        <f t="shared" si="47"/>
        <v>0</v>
      </c>
      <c r="J137" s="574">
        <f t="shared" si="47"/>
        <v>0</v>
      </c>
      <c r="K137" s="574">
        <f t="shared" si="47"/>
        <v>0</v>
      </c>
      <c r="L137" s="582">
        <f>SUM(D137:INDEX(D137:K137,0,MATCH('RFPR cover'!$C$7,$D$6:$K$6,0)))</f>
        <v>0</v>
      </c>
      <c r="M137" s="583">
        <f t="shared" si="48"/>
        <v>0</v>
      </c>
      <c r="N137" s="61"/>
      <c r="O137"/>
      <c r="P137"/>
      <c r="Q137"/>
      <c r="R137"/>
      <c r="S137"/>
      <c r="T137"/>
    </row>
    <row r="138" spans="1:20">
      <c r="A138" s="33"/>
      <c r="B138" s="774" t="s">
        <v>186</v>
      </c>
      <c r="C138" s="154" t="s">
        <v>125</v>
      </c>
      <c r="D138" s="101">
        <f>SUM(D132:D137)</f>
        <v>0</v>
      </c>
      <c r="E138" s="102">
        <f t="shared" ref="E138:K138" si="49">SUM(E132:E137)</f>
        <v>0</v>
      </c>
      <c r="F138" s="102">
        <f t="shared" si="49"/>
        <v>0</v>
      </c>
      <c r="G138" s="102">
        <f t="shared" si="49"/>
        <v>0</v>
      </c>
      <c r="H138" s="102">
        <f t="shared" si="49"/>
        <v>0</v>
      </c>
      <c r="I138" s="102">
        <f t="shared" si="49"/>
        <v>0</v>
      </c>
      <c r="J138" s="102">
        <f t="shared" si="49"/>
        <v>0</v>
      </c>
      <c r="K138" s="102">
        <f t="shared" si="49"/>
        <v>0</v>
      </c>
      <c r="L138" s="101">
        <f>SUM(D138:INDEX(D138:K138,0,MATCH('RFPR cover'!$C$7,$D$6:$K$6,0)))</f>
        <v>0</v>
      </c>
      <c r="M138" s="103">
        <f t="shared" si="48"/>
        <v>0</v>
      </c>
      <c r="N138" s="61"/>
    </row>
    <row r="139" spans="1:20">
      <c r="A139" s="33"/>
      <c r="B139" s="766"/>
    </row>
    <row r="140" spans="1:20">
      <c r="A140" s="33"/>
      <c r="B140" s="773" t="s">
        <v>194</v>
      </c>
      <c r="C140" s="158" t="s">
        <v>125</v>
      </c>
      <c r="D140" s="94">
        <f t="shared" ref="D140:K140" si="50">D138*D126</f>
        <v>0</v>
      </c>
      <c r="E140" s="95">
        <f t="shared" si="50"/>
        <v>0</v>
      </c>
      <c r="F140" s="95">
        <f t="shared" si="50"/>
        <v>0</v>
      </c>
      <c r="G140" s="95">
        <f t="shared" si="50"/>
        <v>0</v>
      </c>
      <c r="H140" s="95">
        <f t="shared" si="50"/>
        <v>0</v>
      </c>
      <c r="I140" s="95">
        <f t="shared" si="50"/>
        <v>0</v>
      </c>
      <c r="J140" s="95">
        <f t="shared" si="50"/>
        <v>0</v>
      </c>
      <c r="K140" s="95">
        <f t="shared" si="50"/>
        <v>0</v>
      </c>
      <c r="L140" s="94">
        <f>SUM(D140:INDEX(D140:K140,0,MATCH('RFPR cover'!$C$7,$D$6:$K$6,0)))</f>
        <v>0</v>
      </c>
      <c r="M140" s="96">
        <f>SUM(D140:K140)</f>
        <v>0</v>
      </c>
    </row>
    <row r="141" spans="1:20">
      <c r="A141" s="33"/>
      <c r="B141" s="773" t="s">
        <v>304</v>
      </c>
      <c r="C141" s="158" t="s">
        <v>125</v>
      </c>
      <c r="D141" s="91">
        <f t="shared" ref="D141:K141" si="51">D138*(1-D126)</f>
        <v>0</v>
      </c>
      <c r="E141" s="92">
        <f t="shared" si="51"/>
        <v>0</v>
      </c>
      <c r="F141" s="92">
        <f t="shared" si="51"/>
        <v>0</v>
      </c>
      <c r="G141" s="92">
        <f t="shared" si="51"/>
        <v>0</v>
      </c>
      <c r="H141" s="92">
        <f t="shared" si="51"/>
        <v>0</v>
      </c>
      <c r="I141" s="92">
        <f t="shared" si="51"/>
        <v>0</v>
      </c>
      <c r="J141" s="92">
        <f t="shared" si="51"/>
        <v>0</v>
      </c>
      <c r="K141" s="92">
        <f t="shared" si="51"/>
        <v>0</v>
      </c>
      <c r="L141" s="91">
        <f>SUM(D141:INDEX(D141:K141,0,MATCH('RFPR cover'!$C$7,$D$6:$K$6,0)))</f>
        <v>0</v>
      </c>
      <c r="M141" s="93">
        <f>SUM(D141:K141)</f>
        <v>0</v>
      </c>
    </row>
    <row r="142" spans="1:20">
      <c r="A142" s="33"/>
      <c r="B142" s="766"/>
    </row>
    <row r="143" spans="1:20">
      <c r="A143" s="33"/>
      <c r="B143" s="774" t="s">
        <v>177</v>
      </c>
    </row>
    <row r="144" spans="1:20">
      <c r="A144" s="33"/>
      <c r="B144" s="766" t="s">
        <v>176</v>
      </c>
      <c r="C144" s="154" t="s">
        <v>125</v>
      </c>
      <c r="D144" s="94">
        <f>D128+D140</f>
        <v>0</v>
      </c>
      <c r="E144" s="95">
        <f t="shared" ref="E144:K144" si="52">E128+E140</f>
        <v>0</v>
      </c>
      <c r="F144" s="95">
        <f t="shared" si="52"/>
        <v>0</v>
      </c>
      <c r="G144" s="95">
        <f t="shared" si="52"/>
        <v>0</v>
      </c>
      <c r="H144" s="95">
        <f t="shared" si="52"/>
        <v>0</v>
      </c>
      <c r="I144" s="95">
        <f t="shared" si="52"/>
        <v>0</v>
      </c>
      <c r="J144" s="95">
        <f t="shared" si="52"/>
        <v>0</v>
      </c>
      <c r="K144" s="95">
        <f t="shared" si="52"/>
        <v>0</v>
      </c>
      <c r="L144" s="94">
        <f>SUM(D144:INDEX(D144:K144,0,MATCH('RFPR cover'!$C$7,$D$6:$K$6,0)))</f>
        <v>0</v>
      </c>
      <c r="M144" s="96">
        <f>SUM(D144:K144)</f>
        <v>0</v>
      </c>
    </row>
    <row r="145" spans="1:20">
      <c r="A145" s="33"/>
      <c r="B145" s="766" t="s">
        <v>275</v>
      </c>
      <c r="C145" s="154" t="s">
        <v>125</v>
      </c>
      <c r="D145" s="97">
        <f>D129+D141</f>
        <v>0</v>
      </c>
      <c r="E145" s="98">
        <f t="shared" ref="E145:K145" si="53">E129+E141</f>
        <v>0</v>
      </c>
      <c r="F145" s="98">
        <f t="shared" si="53"/>
        <v>0</v>
      </c>
      <c r="G145" s="98">
        <f t="shared" si="53"/>
        <v>0</v>
      </c>
      <c r="H145" s="98">
        <f t="shared" si="53"/>
        <v>0</v>
      </c>
      <c r="I145" s="98">
        <f t="shared" si="53"/>
        <v>0</v>
      </c>
      <c r="J145" s="98">
        <f t="shared" si="53"/>
        <v>0</v>
      </c>
      <c r="K145" s="98">
        <f t="shared" si="53"/>
        <v>0</v>
      </c>
      <c r="L145" s="97">
        <f>SUM(D145:INDEX(D145:K145,0,MATCH('RFPR cover'!$C$7,$D$6:$K$6,0)))</f>
        <v>0</v>
      </c>
      <c r="M145" s="99">
        <f>SUM(D145:K145)</f>
        <v>0</v>
      </c>
    </row>
    <row r="146" spans="1:20">
      <c r="A146" s="33"/>
      <c r="B146" s="774" t="s">
        <v>11</v>
      </c>
      <c r="C146" s="155" t="s">
        <v>125</v>
      </c>
      <c r="D146" s="138">
        <f>SUM(D144:D145)</f>
        <v>0</v>
      </c>
      <c r="E146" s="139">
        <f t="shared" ref="E146:K146" si="54">SUM(E144:E145)</f>
        <v>0</v>
      </c>
      <c r="F146" s="139">
        <f t="shared" si="54"/>
        <v>0</v>
      </c>
      <c r="G146" s="139">
        <f t="shared" si="54"/>
        <v>0</v>
      </c>
      <c r="H146" s="139">
        <f t="shared" si="54"/>
        <v>0</v>
      </c>
      <c r="I146" s="139">
        <f t="shared" si="54"/>
        <v>0</v>
      </c>
      <c r="J146" s="139">
        <f t="shared" si="54"/>
        <v>0</v>
      </c>
      <c r="K146" s="139">
        <f t="shared" si="54"/>
        <v>0</v>
      </c>
      <c r="L146" s="138">
        <f>SUM(D146:INDEX(D146:K146,0,MATCH('RFPR cover'!$C$7,$D$6:$K$6,0)))</f>
        <v>0</v>
      </c>
      <c r="M146" s="140">
        <f>SUM(D146:K146)</f>
        <v>0</v>
      </c>
    </row>
    <row r="147" spans="1:20">
      <c r="A147" s="33"/>
      <c r="B147" s="774"/>
      <c r="C147" s="155"/>
      <c r="D147" s="155"/>
      <c r="E147" s="155"/>
      <c r="F147" s="155"/>
      <c r="G147" s="155"/>
      <c r="H147" s="155"/>
      <c r="I147" s="155"/>
      <c r="J147" s="155"/>
      <c r="K147" s="155"/>
      <c r="L147" s="155"/>
      <c r="M147" s="155"/>
    </row>
    <row r="148" spans="1:20">
      <c r="A148" s="33"/>
      <c r="B148" s="769" t="s">
        <v>252</v>
      </c>
      <c r="C148" s="149"/>
      <c r="D148" s="80"/>
      <c r="E148" s="80"/>
      <c r="F148" s="80"/>
      <c r="G148" s="80"/>
      <c r="H148" s="80"/>
      <c r="I148" s="80"/>
      <c r="J148" s="80"/>
      <c r="K148" s="80"/>
      <c r="L148" s="80"/>
      <c r="M148" s="80"/>
      <c r="N148" s="80"/>
    </row>
    <row r="149" spans="1:20">
      <c r="A149" s="33"/>
      <c r="B149" s="766"/>
      <c r="O149"/>
      <c r="P149"/>
      <c r="Q149"/>
      <c r="R149"/>
      <c r="S149"/>
      <c r="T149"/>
    </row>
    <row r="150" spans="1:20">
      <c r="A150" s="33"/>
      <c r="B150" s="774" t="s">
        <v>177</v>
      </c>
    </row>
    <row r="151" spans="1:20">
      <c r="A151" s="33"/>
      <c r="B151" s="766" t="s">
        <v>176</v>
      </c>
      <c r="C151" s="154" t="s">
        <v>125</v>
      </c>
      <c r="D151" s="94">
        <f>D116+D144</f>
        <v>17.225528772145488</v>
      </c>
      <c r="E151" s="95">
        <f t="shared" ref="E151:K151" si="55">E116+E144</f>
        <v>21.521497341771521</v>
      </c>
      <c r="F151" s="95">
        <f t="shared" si="55"/>
        <v>14.88642150974975</v>
      </c>
      <c r="G151" s="95">
        <f t="shared" si="55"/>
        <v>8.9556684264691029</v>
      </c>
      <c r="H151" s="95">
        <f t="shared" si="55"/>
        <v>0.17722339127934239</v>
      </c>
      <c r="I151" s="95">
        <f t="shared" si="55"/>
        <v>-0.12553167456695746</v>
      </c>
      <c r="J151" s="95">
        <f t="shared" si="55"/>
        <v>-4.5358863895669401</v>
      </c>
      <c r="K151" s="95">
        <f t="shared" si="55"/>
        <v>0.39632828201389714</v>
      </c>
      <c r="L151" s="94">
        <f>SUM(D151:INDEX(D151:K151,0,MATCH('RFPR cover'!$C$7,$D$6:$K$6,0)))</f>
        <v>58.104921377281308</v>
      </c>
      <c r="M151" s="96">
        <f>SUM(D151:K151)</f>
        <v>58.501249659295205</v>
      </c>
    </row>
    <row r="152" spans="1:20">
      <c r="A152" s="33"/>
      <c r="B152" s="766" t="s">
        <v>275</v>
      </c>
      <c r="C152" s="154" t="s">
        <v>125</v>
      </c>
      <c r="D152" s="97">
        <f t="shared" ref="D152:K152" si="56">D117+D145</f>
        <v>17.225528772145488</v>
      </c>
      <c r="E152" s="98">
        <f t="shared" si="56"/>
        <v>21.521497341771521</v>
      </c>
      <c r="F152" s="98">
        <f t="shared" si="56"/>
        <v>14.88642150974975</v>
      </c>
      <c r="G152" s="98">
        <f t="shared" si="56"/>
        <v>8.9556684264691029</v>
      </c>
      <c r="H152" s="98">
        <f t="shared" si="56"/>
        <v>0.17722339127934239</v>
      </c>
      <c r="I152" s="98">
        <f t="shared" si="56"/>
        <v>-0.12553167456695746</v>
      </c>
      <c r="J152" s="98">
        <f t="shared" si="56"/>
        <v>-4.5358863895669401</v>
      </c>
      <c r="K152" s="98">
        <f t="shared" si="56"/>
        <v>0.39632828201389714</v>
      </c>
      <c r="L152" s="97">
        <f>SUM(D152:INDEX(D152:K152,0,MATCH('RFPR cover'!$C$7,$D$6:$K$6,0)))</f>
        <v>58.104921377281308</v>
      </c>
      <c r="M152" s="99">
        <f>SUM(D152:K152)</f>
        <v>58.501249659295205</v>
      </c>
    </row>
    <row r="153" spans="1:20">
      <c r="A153" s="33"/>
      <c r="B153" s="774" t="s">
        <v>11</v>
      </c>
      <c r="C153" s="155" t="s">
        <v>125</v>
      </c>
      <c r="D153" s="138">
        <f>SUM(D151:D152)</f>
        <v>34.451057544290975</v>
      </c>
      <c r="E153" s="139">
        <f t="shared" ref="E153:K153" si="57">SUM(E151:E152)</f>
        <v>43.042994683543043</v>
      </c>
      <c r="F153" s="139">
        <f t="shared" si="57"/>
        <v>29.772843019499501</v>
      </c>
      <c r="G153" s="139">
        <f t="shared" si="57"/>
        <v>17.911336852938206</v>
      </c>
      <c r="H153" s="139">
        <f t="shared" si="57"/>
        <v>0.35444678255868478</v>
      </c>
      <c r="I153" s="139">
        <f t="shared" si="57"/>
        <v>-0.25106334913391493</v>
      </c>
      <c r="J153" s="139">
        <f t="shared" si="57"/>
        <v>-9.0717727791338802</v>
      </c>
      <c r="K153" s="139">
        <f t="shared" si="57"/>
        <v>0.79265656402779427</v>
      </c>
      <c r="L153" s="138">
        <f>SUM(D153:INDEX(D153:K153,0,MATCH('RFPR cover'!$C$7,$D$6:$K$6,0)))</f>
        <v>116.20984275456262</v>
      </c>
      <c r="M153" s="140">
        <f>SUM(D153:K153)</f>
        <v>117.00249931859041</v>
      </c>
    </row>
    <row r="154" spans="1:20">
      <c r="A154" s="33"/>
      <c r="B154" s="773"/>
      <c r="D154" s="135"/>
      <c r="E154" s="135"/>
      <c r="F154" s="135"/>
      <c r="G154" s="135"/>
      <c r="H154" s="135"/>
      <c r="I154" s="135"/>
      <c r="J154" s="135"/>
      <c r="K154" s="135"/>
    </row>
    <row r="155" spans="1:20">
      <c r="A155" s="33"/>
      <c r="B155" s="766"/>
    </row>
    <row r="156" spans="1:20">
      <c r="A156" s="80"/>
      <c r="B156" s="765"/>
      <c r="C156" s="149"/>
      <c r="D156" s="80"/>
      <c r="E156" s="80"/>
      <c r="F156" s="80"/>
      <c r="G156" s="80"/>
      <c r="H156" s="80"/>
      <c r="I156" s="80"/>
      <c r="J156" s="80"/>
      <c r="K156" s="80"/>
      <c r="L156" s="80"/>
      <c r="M156" s="80"/>
      <c r="N156" s="80"/>
    </row>
    <row r="157" spans="1:20">
      <c r="B157" s="766"/>
    </row>
    <row r="158" spans="1:20">
      <c r="B158" s="766"/>
    </row>
  </sheetData>
  <mergeCells count="4">
    <mergeCell ref="O14:Q14"/>
    <mergeCell ref="O44:Q44"/>
    <mergeCell ref="O94:Q94"/>
    <mergeCell ref="O124:Q124"/>
  </mergeCells>
  <conditionalFormatting sqref="D6:K6">
    <cfRule type="expression" dxfId="49" priority="7">
      <formula>AND(D$5="Actuals",E$5="Forecast")</formula>
    </cfRule>
  </conditionalFormatting>
  <conditionalFormatting sqref="B122:M146">
    <cfRule type="expression" dxfId="48" priority="3">
      <formula>$B$40="n/a"</formula>
    </cfRule>
  </conditionalFormatting>
  <conditionalFormatting sqref="D5:K5">
    <cfRule type="expression" dxfId="47" priority="2">
      <formula>AND(D$5="Actuals",E$5="Forecast")</formula>
    </cfRule>
  </conditionalFormatting>
  <conditionalFormatting sqref="B40:N66">
    <cfRule type="expression" dxfId="46" priority="1">
      <formula>$B$40="n/a"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FFCC"/>
    <pageSetUpPr fitToPage="1"/>
  </sheetPr>
  <dimension ref="A1:P114"/>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1.375" bestFit="1" customWidth="1"/>
    <col min="3" max="3" width="13.375" style="135" customWidth="1"/>
    <col min="4" max="11" width="11.125" customWidth="1"/>
    <col min="12" max="12" width="12.875" customWidth="1"/>
    <col min="13" max="13" width="12.75" customWidth="1"/>
    <col min="14" max="14" width="5" customWidth="1"/>
  </cols>
  <sheetData>
    <row r="1" spans="1:14" s="35" customFormat="1" ht="20.25">
      <c r="A1" s="922" t="s">
        <v>257</v>
      </c>
      <c r="B1" s="923"/>
      <c r="C1" s="152"/>
      <c r="D1" s="130"/>
      <c r="E1" s="130"/>
      <c r="F1" s="130"/>
      <c r="G1" s="130"/>
      <c r="H1" s="130"/>
      <c r="I1" s="126"/>
      <c r="J1" s="126"/>
      <c r="K1" s="126"/>
      <c r="L1" s="126"/>
      <c r="M1" s="126"/>
      <c r="N1" s="127"/>
    </row>
    <row r="2" spans="1:14" s="35" customFormat="1" ht="20.25">
      <c r="A2" s="924" t="str">
        <f>'RFPR cover'!C5</f>
        <v>SPT</v>
      </c>
      <c r="B2" s="925"/>
      <c r="C2" s="153"/>
      <c r="D2" s="34"/>
      <c r="E2" s="34"/>
      <c r="F2" s="34"/>
      <c r="G2" s="34"/>
      <c r="H2" s="34"/>
      <c r="I2" s="25"/>
      <c r="J2" s="25"/>
      <c r="K2" s="25"/>
      <c r="L2" s="25"/>
      <c r="M2" s="25"/>
      <c r="N2" s="122"/>
    </row>
    <row r="3" spans="1:14" s="35" customFormat="1" ht="20.25">
      <c r="A3" s="926">
        <f>'RFPR cover'!C7</f>
        <v>2020</v>
      </c>
      <c r="B3" s="927"/>
      <c r="C3" s="134"/>
      <c r="D3" s="131"/>
      <c r="E3" s="131"/>
      <c r="F3" s="131"/>
      <c r="G3" s="131"/>
      <c r="H3" s="131"/>
      <c r="I3" s="26"/>
      <c r="J3" s="26"/>
      <c r="K3" s="26"/>
      <c r="L3" s="26"/>
      <c r="M3" s="26"/>
      <c r="N3" s="124"/>
    </row>
    <row r="4" spans="1:14" s="2" customFormat="1" ht="12.75" customHeight="1">
      <c r="B4" s="3"/>
      <c r="C4" s="135"/>
    </row>
    <row r="5" spans="1:14" s="2" customFormat="1" ht="12.75" customHeight="1">
      <c r="B5" s="3"/>
      <c r="C5" s="135"/>
      <c r="D5" s="379" t="str">
        <f>IF(D6&lt;='RFPR cover'!$C$7,"Actuals","Forecast")</f>
        <v>Actuals</v>
      </c>
      <c r="E5" s="380" t="str">
        <f>IF(E6&lt;='RFPR cover'!$C$7,"Actuals","Forecast")</f>
        <v>Actuals</v>
      </c>
      <c r="F5" s="380" t="str">
        <f>IF(F6&lt;='RFPR cover'!$C$7,"Actuals","Forecast")</f>
        <v>Actuals</v>
      </c>
      <c r="G5" s="380" t="str">
        <f>IF(G6&lt;='RFPR cover'!$C$7,"Actuals","Forecast")</f>
        <v>Actuals</v>
      </c>
      <c r="H5" s="380" t="str">
        <f>IF(H6&lt;='RFPR cover'!$C$7,"Actuals","Forecast")</f>
        <v>Actuals</v>
      </c>
      <c r="I5" s="380" t="str">
        <f>IF(I6&lt;='RFPR cover'!$C$7,"Actuals","Forecast")</f>
        <v>Actuals</v>
      </c>
      <c r="J5" s="380" t="str">
        <f>IF(J6&lt;='RFPR cover'!$C$7,"Actuals","Forecast")</f>
        <v>Actuals</v>
      </c>
      <c r="K5" s="381" t="str">
        <f>IF(K6&lt;='RFPR cover'!$C$7,"Actuals","Forecast")</f>
        <v>Forecast</v>
      </c>
    </row>
    <row r="6" spans="1:14" s="2" customFormat="1" ht="29.25" customHeight="1">
      <c r="C6" s="135"/>
      <c r="D6" s="116">
        <f>'RFPR cover'!$C$13</f>
        <v>2014</v>
      </c>
      <c r="E6" s="117">
        <f>D6+1</f>
        <v>2015</v>
      </c>
      <c r="F6" s="117">
        <f t="shared" ref="F6:K6" si="0">E6+1</f>
        <v>2016</v>
      </c>
      <c r="G6" s="117">
        <f t="shared" si="0"/>
        <v>2017</v>
      </c>
      <c r="H6" s="117">
        <f t="shared" si="0"/>
        <v>2018</v>
      </c>
      <c r="I6" s="117">
        <f t="shared" si="0"/>
        <v>2019</v>
      </c>
      <c r="J6" s="117">
        <f t="shared" si="0"/>
        <v>2020</v>
      </c>
      <c r="K6" s="117">
        <f t="shared" si="0"/>
        <v>2021</v>
      </c>
      <c r="L6" s="100" t="str">
        <f>"Cumulative to "&amp;'RFPR cover'!$C$7</f>
        <v>Cumulative to 2020</v>
      </c>
      <c r="M6" s="118" t="s">
        <v>106</v>
      </c>
    </row>
    <row r="7" spans="1:14" s="2" customFormat="1">
      <c r="A7" s="33"/>
      <c r="C7" s="135"/>
    </row>
    <row r="8" spans="1:14" s="2" customFormat="1">
      <c r="A8" s="33"/>
      <c r="B8" s="115" t="s">
        <v>195</v>
      </c>
      <c r="C8" s="149"/>
      <c r="D8" s="79"/>
      <c r="E8" s="79"/>
      <c r="F8" s="79"/>
      <c r="G8" s="79"/>
      <c r="H8" s="79"/>
      <c r="I8" s="79"/>
      <c r="J8" s="79"/>
      <c r="K8" s="79"/>
      <c r="L8" s="79"/>
      <c r="M8" s="79"/>
      <c r="N8" s="79"/>
    </row>
    <row r="9" spans="1:14" s="2" customFormat="1">
      <c r="A9" s="33"/>
      <c r="B9" s="357" t="s">
        <v>373</v>
      </c>
      <c r="C9" s="357"/>
      <c r="D9" s="357"/>
      <c r="E9" s="357"/>
      <c r="F9" s="357"/>
      <c r="G9" s="357"/>
      <c r="H9" s="357"/>
      <c r="I9" s="357"/>
      <c r="J9" s="357"/>
      <c r="K9" s="357"/>
      <c r="L9" s="357"/>
      <c r="M9" s="357"/>
      <c r="N9" s="357"/>
    </row>
    <row r="10" spans="1:14" s="2" customFormat="1">
      <c r="A10" s="33"/>
      <c r="B10" s="12"/>
      <c r="C10" s="135"/>
    </row>
    <row r="11" spans="1:14" s="2" customFormat="1">
      <c r="A11" s="223" t="s">
        <v>148</v>
      </c>
      <c r="B11" s="33" t="str">
        <f>Data!B153</f>
        <v>Network Reliability Incentive</v>
      </c>
      <c r="C11" s="154" t="str">
        <f>'RFPR cover'!$C$14</f>
        <v>£m 09/10</v>
      </c>
      <c r="D11" s="584">
        <v>1.8999480519480521</v>
      </c>
      <c r="E11" s="585">
        <v>2.2501265822784804</v>
      </c>
      <c r="F11" s="585">
        <v>2.1112000000000002</v>
      </c>
      <c r="G11" s="585">
        <v>2.1468430666666665</v>
      </c>
      <c r="H11" s="585">
        <v>2.1921975308641977</v>
      </c>
      <c r="I11" s="585">
        <v>1.8326884773430947</v>
      </c>
      <c r="J11" s="585">
        <v>2.1904197530864198</v>
      </c>
      <c r="K11" s="585">
        <v>1</v>
      </c>
      <c r="L11" s="661">
        <f>SUM(D11:INDEX(D11:K11,0,MATCH('RFPR cover'!$C$7,$D$6:$K$6,0)))</f>
        <v>14.623423462186912</v>
      </c>
      <c r="M11" s="662">
        <f t="shared" ref="M11:M17" si="1">SUM(D11:K11)</f>
        <v>15.623423462186912</v>
      </c>
    </row>
    <row r="12" spans="1:14" s="2" customFormat="1">
      <c r="A12" s="223" t="s">
        <v>149</v>
      </c>
      <c r="B12" s="33" t="str">
        <f>Data!B154</f>
        <v>Stakeholder Satisfaction Output</v>
      </c>
      <c r="C12" s="154" t="str">
        <f>'RFPR cover'!$C$14</f>
        <v>£m 09/10</v>
      </c>
      <c r="D12" s="586">
        <v>0.34488714391899705</v>
      </c>
      <c r="E12" s="587">
        <v>0.54267013075614579</v>
      </c>
      <c r="F12" s="587">
        <v>0.75883366908795924</v>
      </c>
      <c r="G12" s="587">
        <v>1.6044716326868131</v>
      </c>
      <c r="H12" s="587">
        <v>2.1627538709833929</v>
      </c>
      <c r="I12" s="587">
        <v>1.7470156523421758</v>
      </c>
      <c r="J12" s="587">
        <v>1.7660636130154135</v>
      </c>
      <c r="K12" s="587">
        <v>1</v>
      </c>
      <c r="L12" s="665">
        <f>SUM(D12:INDEX(D12:K12,0,MATCH('RFPR cover'!$C$7,$D$6:$K$6,0)))</f>
        <v>8.926695712790897</v>
      </c>
      <c r="M12" s="666">
        <f t="shared" si="1"/>
        <v>9.926695712790897</v>
      </c>
    </row>
    <row r="13" spans="1:14" s="2" customFormat="1">
      <c r="A13" s="223" t="s">
        <v>150</v>
      </c>
      <c r="B13" s="33" t="str">
        <f>Data!B155</f>
        <v>SF6 Emissions</v>
      </c>
      <c r="C13" s="154" t="str">
        <f>'RFPR cover'!$C$14</f>
        <v>£m 09/10</v>
      </c>
      <c r="D13" s="586">
        <v>-0.10810395233766219</v>
      </c>
      <c r="E13" s="587">
        <v>-2.7225581836708632E-2</v>
      </c>
      <c r="F13" s="587">
        <v>3.5798092785000221E-2</v>
      </c>
      <c r="G13" s="587">
        <v>0.16209652329406277</v>
      </c>
      <c r="H13" s="587">
        <v>0.16989769100000021</v>
      </c>
      <c r="I13" s="587">
        <v>9.0685488734569795E-3</v>
      </c>
      <c r="J13" s="587">
        <v>0.29755387286419771</v>
      </c>
      <c r="K13" s="587">
        <v>0.05</v>
      </c>
      <c r="L13" s="665">
        <f>SUM(D13:INDEX(D13:K13,0,MATCH('RFPR cover'!$C$7,$D$6:$K$6,0)))</f>
        <v>0.53908519464234705</v>
      </c>
      <c r="M13" s="666">
        <f t="shared" si="1"/>
        <v>0.5890851946423471</v>
      </c>
    </row>
    <row r="14" spans="1:14" s="2" customFormat="1">
      <c r="A14" s="223" t="s">
        <v>164</v>
      </c>
      <c r="B14" s="33" t="str">
        <f>Data!B156</f>
        <v>Environmental Discretionary Reward</v>
      </c>
      <c r="C14" s="154" t="str">
        <f>'RFPR cover'!$C$14</f>
        <v>£m 09/10</v>
      </c>
      <c r="D14" s="586">
        <v>0</v>
      </c>
      <c r="E14" s="587">
        <v>0</v>
      </c>
      <c r="F14" s="587">
        <v>3.326747175571342</v>
      </c>
      <c r="G14" s="587">
        <v>3.2569587006400189</v>
      </c>
      <c r="H14" s="587">
        <v>0</v>
      </c>
      <c r="I14" s="587">
        <v>0.76159868411763887</v>
      </c>
      <c r="J14" s="587">
        <v>0</v>
      </c>
      <c r="K14" s="587">
        <v>0.5</v>
      </c>
      <c r="L14" s="665">
        <f>SUM(D14:INDEX(D14:K14,0,MATCH('RFPR cover'!$C$7,$D$6:$K$6,0)))</f>
        <v>7.3453045603290006</v>
      </c>
      <c r="M14" s="666">
        <f t="shared" si="1"/>
        <v>7.8453045603290006</v>
      </c>
    </row>
    <row r="15" spans="1:14" s="2" customFormat="1">
      <c r="A15" s="223" t="s">
        <v>165</v>
      </c>
      <c r="B15" s="33" t="str">
        <f>Data!B157</f>
        <v xml:space="preserve">Performance re offers of timely connection </v>
      </c>
      <c r="C15" s="154" t="str">
        <f>'RFPR cover'!$C$14</f>
        <v>£m 09/10</v>
      </c>
      <c r="D15" s="586">
        <v>-4.6936261527645608E-2</v>
      </c>
      <c r="E15" s="587">
        <v>-3.1053726008255202E-2</v>
      </c>
      <c r="F15" s="587">
        <v>0</v>
      </c>
      <c r="G15" s="587">
        <v>0</v>
      </c>
      <c r="H15" s="587">
        <v>-2.1332601373714302E-2</v>
      </c>
      <c r="I15" s="587">
        <v>0</v>
      </c>
      <c r="J15" s="587">
        <v>0</v>
      </c>
      <c r="K15" s="587">
        <v>-0.05</v>
      </c>
      <c r="L15" s="665">
        <f>SUM(D15:INDEX(D15:K15,0,MATCH('RFPR cover'!$C$7,$D$6:$K$6,0)))</f>
        <v>-9.9322588909615109E-2</v>
      </c>
      <c r="M15" s="666">
        <f t="shared" si="1"/>
        <v>-0.14932258890961511</v>
      </c>
    </row>
    <row r="16" spans="1:14" s="2" customFormat="1">
      <c r="A16" s="223" t="s">
        <v>166</v>
      </c>
      <c r="B16" s="33" t="str">
        <f>Data!B158</f>
        <v/>
      </c>
      <c r="C16" s="154" t="str">
        <f>'RFPR cover'!$C$14</f>
        <v>£m 09/10</v>
      </c>
      <c r="D16" s="586">
        <v>0</v>
      </c>
      <c r="E16" s="587">
        <v>0</v>
      </c>
      <c r="F16" s="587">
        <v>0</v>
      </c>
      <c r="G16" s="587">
        <v>0</v>
      </c>
      <c r="H16" s="587">
        <v>0</v>
      </c>
      <c r="I16" s="587">
        <v>0</v>
      </c>
      <c r="J16" s="587">
        <v>0</v>
      </c>
      <c r="K16" s="587">
        <v>0</v>
      </c>
      <c r="L16" s="665">
        <f>SUM(D16:INDEX(D16:K16,0,MATCH('RFPR cover'!$C$7,$D$6:$K$6,0)))</f>
        <v>0</v>
      </c>
      <c r="M16" s="666">
        <f t="shared" si="1"/>
        <v>0</v>
      </c>
    </row>
    <row r="17" spans="1:16" s="2" customFormat="1">
      <c r="A17" s="223" t="s">
        <v>461</v>
      </c>
      <c r="B17" s="33" t="str">
        <f>Data!B159</f>
        <v/>
      </c>
      <c r="C17" s="154" t="str">
        <f>'RFPR cover'!$C$14</f>
        <v>£m 09/10</v>
      </c>
      <c r="D17" s="841">
        <v>0</v>
      </c>
      <c r="E17" s="842">
        <v>0</v>
      </c>
      <c r="F17" s="842">
        <v>0</v>
      </c>
      <c r="G17" s="842">
        <v>0</v>
      </c>
      <c r="H17" s="842">
        <v>0</v>
      </c>
      <c r="I17" s="842">
        <v>0</v>
      </c>
      <c r="J17" s="842">
        <v>0</v>
      </c>
      <c r="K17" s="843">
        <v>0</v>
      </c>
      <c r="L17" s="665">
        <f>SUM(D17:INDEX(D17:K17,0,MATCH('RFPR cover'!$C$7,$D$6:$K$6,0)))</f>
        <v>0</v>
      </c>
      <c r="M17" s="666">
        <f t="shared" si="1"/>
        <v>0</v>
      </c>
    </row>
    <row r="18" spans="1:16" s="2" customFormat="1">
      <c r="A18" s="33"/>
      <c r="B18" s="12" t="s">
        <v>199</v>
      </c>
      <c r="C18" s="155" t="str">
        <f>'RFPR cover'!$C$14</f>
        <v>£m 09/10</v>
      </c>
      <c r="D18" s="600">
        <f>SUM(D11:D17)</f>
        <v>2.0897949820017412</v>
      </c>
      <c r="E18" s="600">
        <f t="shared" ref="E18:K18" si="2">SUM(E11:E17)</f>
        <v>2.7345174051896621</v>
      </c>
      <c r="F18" s="600">
        <f t="shared" si="2"/>
        <v>6.2325789374443019</v>
      </c>
      <c r="G18" s="600">
        <f t="shared" si="2"/>
        <v>7.1703699232875611</v>
      </c>
      <c r="H18" s="600">
        <f t="shared" si="2"/>
        <v>4.5035164914738761</v>
      </c>
      <c r="I18" s="600">
        <f t="shared" si="2"/>
        <v>4.3503713626763663</v>
      </c>
      <c r="J18" s="600">
        <f t="shared" si="2"/>
        <v>4.2540372389660313</v>
      </c>
      <c r="K18" s="600">
        <f t="shared" si="2"/>
        <v>2.5</v>
      </c>
      <c r="L18" s="600">
        <f>SUM(L11:L17)</f>
        <v>31.335186341039542</v>
      </c>
      <c r="M18" s="600">
        <f>SUM(M11:M17)</f>
        <v>33.835186341039545</v>
      </c>
      <c r="O18" s="942"/>
    </row>
    <row r="19" spans="1:16" s="2" customFormat="1">
      <c r="A19" s="33"/>
      <c r="B19" s="12"/>
      <c r="C19" s="155"/>
      <c r="D19" s="155"/>
      <c r="E19" s="155"/>
      <c r="F19" s="155"/>
      <c r="G19" s="155"/>
      <c r="H19" s="155"/>
      <c r="I19" s="155"/>
      <c r="J19" s="155"/>
      <c r="K19" s="155"/>
      <c r="L19" s="155"/>
      <c r="M19" s="155"/>
    </row>
    <row r="20" spans="1:16" s="2" customFormat="1">
      <c r="A20" s="33"/>
      <c r="B20" s="12" t="s">
        <v>355</v>
      </c>
      <c r="C20" s="155"/>
      <c r="D20" s="155"/>
      <c r="E20" s="155"/>
      <c r="F20" s="155"/>
      <c r="G20" s="155"/>
      <c r="H20" s="155"/>
      <c r="I20" s="155"/>
      <c r="J20" s="155"/>
      <c r="K20" s="155"/>
      <c r="L20" s="155"/>
      <c r="M20" s="155"/>
    </row>
    <row r="21" spans="1:16" s="2" customFormat="1">
      <c r="A21" s="268" t="str">
        <f>A11</f>
        <v>a</v>
      </c>
      <c r="B21" s="994" t="s">
        <v>569</v>
      </c>
      <c r="C21" s="994"/>
      <c r="D21" s="994"/>
      <c r="E21" s="994"/>
      <c r="F21" s="994"/>
      <c r="G21" s="994"/>
      <c r="H21" s="994"/>
      <c r="I21" s="994"/>
      <c r="J21" s="994"/>
      <c r="K21" s="994"/>
      <c r="L21" s="994"/>
      <c r="M21" s="994"/>
    </row>
    <row r="22" spans="1:16" s="2" customFormat="1">
      <c r="A22" s="268" t="str">
        <f>A12</f>
        <v>b</v>
      </c>
      <c r="B22" s="994" t="s">
        <v>570</v>
      </c>
      <c r="C22" s="994"/>
      <c r="D22" s="994"/>
      <c r="E22" s="994"/>
      <c r="F22" s="994"/>
      <c r="G22" s="994"/>
      <c r="H22" s="994"/>
      <c r="I22" s="994"/>
      <c r="J22" s="994"/>
      <c r="K22" s="994"/>
      <c r="L22" s="994"/>
      <c r="M22" s="994"/>
    </row>
    <row r="23" spans="1:16" s="2" customFormat="1">
      <c r="A23" s="268" t="str">
        <f>A13</f>
        <v>c</v>
      </c>
      <c r="B23" s="994">
        <v>0</v>
      </c>
      <c r="C23" s="994"/>
      <c r="D23" s="994"/>
      <c r="E23" s="994"/>
      <c r="F23" s="994"/>
      <c r="G23" s="994"/>
      <c r="H23" s="994"/>
      <c r="I23" s="994"/>
      <c r="J23" s="994"/>
      <c r="K23" s="994"/>
      <c r="L23" s="994"/>
      <c r="M23" s="994"/>
    </row>
    <row r="24" spans="1:16" s="2" customFormat="1">
      <c r="A24" s="268" t="str">
        <f>A14</f>
        <v>d</v>
      </c>
      <c r="B24" s="994" t="s">
        <v>571</v>
      </c>
      <c r="C24" s="994"/>
      <c r="D24" s="994"/>
      <c r="E24" s="994"/>
      <c r="F24" s="994"/>
      <c r="G24" s="994"/>
      <c r="H24" s="994"/>
      <c r="I24" s="994"/>
      <c r="J24" s="994"/>
      <c r="K24" s="994"/>
      <c r="L24" s="994"/>
      <c r="M24" s="994"/>
    </row>
    <row r="25" spans="1:16" s="2" customFormat="1">
      <c r="A25" s="268" t="str">
        <f>A15</f>
        <v>e</v>
      </c>
      <c r="B25" s="994" t="s">
        <v>572</v>
      </c>
      <c r="C25" s="994"/>
      <c r="D25" s="994"/>
      <c r="E25" s="994"/>
      <c r="F25" s="994"/>
      <c r="G25" s="994"/>
      <c r="H25" s="994"/>
      <c r="I25" s="994"/>
      <c r="J25" s="994"/>
      <c r="K25" s="994"/>
      <c r="L25" s="994"/>
      <c r="M25" s="994"/>
    </row>
    <row r="26" spans="1:16" s="2" customFormat="1">
      <c r="A26" s="268" t="s">
        <v>166</v>
      </c>
      <c r="B26" s="993" t="s">
        <v>250</v>
      </c>
      <c r="C26" s="993"/>
      <c r="D26" s="993"/>
      <c r="E26" s="993"/>
      <c r="F26" s="993"/>
      <c r="G26" s="993"/>
      <c r="H26" s="993"/>
      <c r="I26" s="993"/>
      <c r="J26" s="993"/>
      <c r="K26" s="993"/>
      <c r="L26" s="993"/>
      <c r="M26" s="993"/>
    </row>
    <row r="27" spans="1:16" s="2" customFormat="1">
      <c r="A27" s="268" t="s">
        <v>461</v>
      </c>
      <c r="B27" s="993" t="s">
        <v>250</v>
      </c>
      <c r="C27" s="993"/>
      <c r="D27" s="993"/>
      <c r="E27" s="993"/>
      <c r="F27" s="993"/>
      <c r="G27" s="993"/>
      <c r="H27" s="993"/>
      <c r="I27" s="993"/>
      <c r="J27" s="993"/>
      <c r="K27" s="993"/>
      <c r="L27" s="993"/>
      <c r="M27" s="993"/>
    </row>
    <row r="28" spans="1:16" s="524" customFormat="1">
      <c r="A28" s="36"/>
      <c r="B28" s="528"/>
      <c r="C28" s="528"/>
      <c r="D28" s="528"/>
      <c r="E28" s="528"/>
      <c r="F28" s="528"/>
      <c r="G28" s="528"/>
      <c r="H28" s="528"/>
      <c r="I28" s="528"/>
      <c r="J28" s="528"/>
      <c r="K28" s="528"/>
      <c r="L28" s="528"/>
      <c r="M28" s="528"/>
    </row>
    <row r="29" spans="1:16" s="2" customFormat="1">
      <c r="B29" s="12"/>
      <c r="C29" s="135"/>
      <c r="D29" s="50"/>
      <c r="E29" s="50"/>
      <c r="F29" s="50"/>
      <c r="G29" s="50"/>
      <c r="H29" s="50"/>
      <c r="I29" s="50"/>
      <c r="J29" s="50"/>
      <c r="K29" s="50"/>
    </row>
    <row r="30" spans="1:16" s="2" customFormat="1">
      <c r="A30" s="33"/>
      <c r="B30" s="115" t="s">
        <v>196</v>
      </c>
      <c r="C30" s="149"/>
      <c r="D30" s="79"/>
      <c r="E30" s="79"/>
      <c r="F30" s="79"/>
      <c r="G30" s="79"/>
      <c r="H30" s="79"/>
      <c r="I30" s="79"/>
      <c r="J30" s="79"/>
      <c r="K30" s="79"/>
      <c r="L30" s="79"/>
      <c r="M30" s="79"/>
      <c r="N30" s="79"/>
    </row>
    <row r="31" spans="1:16" s="2" customFormat="1">
      <c r="A31" s="33"/>
      <c r="B31" s="33"/>
      <c r="C31" s="33"/>
      <c r="D31" s="33"/>
      <c r="E31" s="33"/>
      <c r="F31" s="33"/>
      <c r="G31" s="33"/>
      <c r="H31" s="33"/>
      <c r="I31" s="33"/>
      <c r="J31" s="33"/>
      <c r="K31" s="33"/>
      <c r="L31" s="33"/>
      <c r="M31" s="33"/>
      <c r="N31" s="33"/>
      <c r="O31" s="33"/>
      <c r="P31" s="33"/>
    </row>
    <row r="32" spans="1:16" s="2" customFormat="1">
      <c r="A32" s="33"/>
      <c r="B32" s="357" t="s">
        <v>207</v>
      </c>
      <c r="C32" s="288"/>
      <c r="D32" s="290"/>
      <c r="E32" s="290"/>
      <c r="F32" s="290"/>
      <c r="G32" s="290"/>
      <c r="H32" s="290"/>
      <c r="I32" s="290"/>
      <c r="J32" s="290"/>
      <c r="K32" s="290"/>
      <c r="L32" s="290"/>
      <c r="M32" s="290"/>
      <c r="N32" s="290"/>
    </row>
    <row r="33" spans="1:14" s="2" customFormat="1">
      <c r="A33" s="33"/>
      <c r="B33" s="358" t="s">
        <v>237</v>
      </c>
      <c r="C33" s="288"/>
      <c r="D33" s="290"/>
      <c r="E33" s="290"/>
      <c r="F33" s="290"/>
      <c r="G33" s="290"/>
      <c r="H33" s="290"/>
      <c r="I33" s="290"/>
      <c r="J33" s="290"/>
      <c r="K33" s="290"/>
      <c r="L33" s="290"/>
      <c r="M33" s="290"/>
      <c r="N33" s="290"/>
    </row>
    <row r="34" spans="1:14" s="2" customFormat="1">
      <c r="A34" s="33"/>
      <c r="B34" s="358" t="s">
        <v>462</v>
      </c>
      <c r="C34" s="288"/>
      <c r="D34" s="290"/>
      <c r="E34" s="290"/>
      <c r="F34" s="290"/>
      <c r="G34" s="290"/>
      <c r="H34" s="290"/>
      <c r="I34" s="290"/>
      <c r="J34" s="290"/>
      <c r="K34" s="290"/>
      <c r="L34" s="290"/>
      <c r="M34" s="290"/>
      <c r="N34" s="290"/>
    </row>
    <row r="35" spans="1:14" s="2" customFormat="1">
      <c r="A35" s="33"/>
      <c r="B35" s="358" t="s">
        <v>205</v>
      </c>
      <c r="C35" s="288"/>
      <c r="D35" s="290"/>
      <c r="E35" s="290"/>
      <c r="F35" s="290"/>
      <c r="G35" s="290"/>
      <c r="H35" s="290"/>
      <c r="I35" s="290"/>
      <c r="J35" s="290"/>
      <c r="K35" s="290"/>
      <c r="L35" s="290"/>
      <c r="M35" s="290"/>
      <c r="N35" s="290"/>
    </row>
    <row r="36" spans="1:14" s="2" customFormat="1">
      <c r="A36" s="33"/>
      <c r="B36" s="358" t="s">
        <v>198</v>
      </c>
      <c r="C36" s="288"/>
      <c r="D36" s="290"/>
      <c r="E36" s="290"/>
      <c r="F36" s="290"/>
      <c r="G36" s="290"/>
      <c r="H36" s="290"/>
      <c r="I36" s="290"/>
      <c r="J36" s="290"/>
      <c r="K36" s="290"/>
      <c r="L36" s="290"/>
      <c r="M36" s="290"/>
      <c r="N36" s="290"/>
    </row>
    <row r="37" spans="1:14" s="2" customFormat="1">
      <c r="A37" s="33"/>
      <c r="B37" s="358" t="s">
        <v>204</v>
      </c>
      <c r="C37" s="288"/>
      <c r="D37" s="290"/>
      <c r="E37" s="290"/>
      <c r="F37" s="290"/>
      <c r="G37" s="290"/>
      <c r="H37" s="290"/>
      <c r="I37" s="290"/>
      <c r="J37" s="290"/>
      <c r="K37" s="290"/>
      <c r="L37" s="290"/>
      <c r="M37" s="290"/>
      <c r="N37" s="290"/>
    </row>
    <row r="38" spans="1:14" s="2" customFormat="1">
      <c r="B38" s="12"/>
      <c r="C38" s="135"/>
    </row>
    <row r="39" spans="1:14" s="2" customFormat="1">
      <c r="A39" s="159" t="str">
        <f t="shared" ref="A39:A45" si="3">A11</f>
        <v>a</v>
      </c>
      <c r="B39" s="33" t="str">
        <f>$B$11&amp;""</f>
        <v>Network Reliability Incentive</v>
      </c>
      <c r="C39" s="154" t="str">
        <f>'RFPR cover'!$C$14</f>
        <v>£m 09/10</v>
      </c>
      <c r="D39" s="661">
        <f>D51</f>
        <v>1.5199584415584417</v>
      </c>
      <c r="E39" s="661">
        <f t="shared" ref="E39:K39" si="4">E51</f>
        <v>1.8001012658227844</v>
      </c>
      <c r="F39" s="661">
        <f t="shared" si="4"/>
        <v>1.7100720000000003</v>
      </c>
      <c r="G39" s="661">
        <f t="shared" si="4"/>
        <v>1.7389428839999999</v>
      </c>
      <c r="H39" s="661">
        <f t="shared" si="4"/>
        <v>1.7756800000000001</v>
      </c>
      <c r="I39" s="661">
        <f t="shared" si="4"/>
        <v>1.4844776666479067</v>
      </c>
      <c r="J39" s="661">
        <f t="shared" si="4"/>
        <v>1.77424</v>
      </c>
      <c r="K39" s="661">
        <f t="shared" si="4"/>
        <v>0.81</v>
      </c>
      <c r="L39" s="661">
        <f>SUM(D39:INDEX(D39:K39,0,MATCH('RFPR cover'!$C$7,$D$6:$K$6,0)))</f>
        <v>11.803472258029133</v>
      </c>
      <c r="M39" s="662">
        <f t="shared" ref="M39:M45" si="5">SUM(D39:K39)</f>
        <v>12.613472258029134</v>
      </c>
    </row>
    <row r="40" spans="1:14" s="2" customFormat="1">
      <c r="A40" s="159" t="str">
        <f t="shared" si="3"/>
        <v>b</v>
      </c>
      <c r="B40" s="33" t="str">
        <f>$B$12&amp;""</f>
        <v>Stakeholder Satisfaction Output</v>
      </c>
      <c r="C40" s="154" t="str">
        <f>'RFPR cover'!$C$14</f>
        <v>£m 09/10</v>
      </c>
      <c r="D40" s="661">
        <f>D55</f>
        <v>0.27590971513519763</v>
      </c>
      <c r="E40" s="661">
        <f t="shared" ref="E40:K40" si="6">E55</f>
        <v>0.43413610460491664</v>
      </c>
      <c r="F40" s="661">
        <f t="shared" si="6"/>
        <v>0.61465527196124703</v>
      </c>
      <c r="G40" s="661">
        <f t="shared" si="6"/>
        <v>1.2996220224763186</v>
      </c>
      <c r="H40" s="661">
        <f t="shared" si="6"/>
        <v>1.7518306354965483</v>
      </c>
      <c r="I40" s="661">
        <f t="shared" si="6"/>
        <v>1.4150826783971624</v>
      </c>
      <c r="J40" s="661">
        <f t="shared" si="6"/>
        <v>1.430511526542485</v>
      </c>
      <c r="K40" s="661">
        <f t="shared" si="6"/>
        <v>0.81</v>
      </c>
      <c r="L40" s="665">
        <f>SUM(D40:INDEX(D40:K40,0,MATCH('RFPR cover'!$C$7,$D$6:$K$6,0)))</f>
        <v>7.2217479546138765</v>
      </c>
      <c r="M40" s="666">
        <f t="shared" si="5"/>
        <v>8.031747954613877</v>
      </c>
    </row>
    <row r="41" spans="1:14" s="2" customFormat="1">
      <c r="A41" s="159" t="str">
        <f t="shared" si="3"/>
        <v>c</v>
      </c>
      <c r="B41" s="33" t="str">
        <f>$B$13&amp;""</f>
        <v>SF6 Emissions</v>
      </c>
      <c r="C41" s="154" t="str">
        <f>'RFPR cover'!$C$14</f>
        <v>£m 09/10</v>
      </c>
      <c r="D41" s="661">
        <f>D59</f>
        <v>-8.6483161870129763E-2</v>
      </c>
      <c r="E41" s="661">
        <f t="shared" ref="E41:K41" si="7">E59</f>
        <v>-2.1780465469366905E-2</v>
      </c>
      <c r="F41" s="661">
        <f t="shared" si="7"/>
        <v>2.8996455155850181E-2</v>
      </c>
      <c r="G41" s="661">
        <f t="shared" si="7"/>
        <v>0.13129818386819084</v>
      </c>
      <c r="H41" s="661">
        <f t="shared" si="7"/>
        <v>0.13761712971000017</v>
      </c>
      <c r="I41" s="661">
        <f t="shared" si="7"/>
        <v>7.3455245875001535E-3</v>
      </c>
      <c r="J41" s="661">
        <f t="shared" si="7"/>
        <v>0.24101863702000015</v>
      </c>
      <c r="K41" s="661">
        <f t="shared" si="7"/>
        <v>4.0500000000000008E-2</v>
      </c>
      <c r="L41" s="665">
        <f>SUM(D41:INDEX(D41:K41,0,MATCH('RFPR cover'!$C$7,$D$6:$K$6,0)))</f>
        <v>0.43801230300204486</v>
      </c>
      <c r="M41" s="666">
        <f t="shared" si="5"/>
        <v>0.47851230300204484</v>
      </c>
    </row>
    <row r="42" spans="1:14" s="2" customFormat="1">
      <c r="A42" s="159" t="str">
        <f t="shared" si="3"/>
        <v>d</v>
      </c>
      <c r="B42" s="33" t="str">
        <f>$B$14&amp;""</f>
        <v>Environmental Discretionary Reward</v>
      </c>
      <c r="C42" s="154" t="str">
        <f>'RFPR cover'!$C$14</f>
        <v>£m 09/10</v>
      </c>
      <c r="D42" s="661">
        <f>D63</f>
        <v>0</v>
      </c>
      <c r="E42" s="661">
        <f t="shared" ref="E42:K42" si="8">E63</f>
        <v>0</v>
      </c>
      <c r="F42" s="661">
        <f t="shared" si="8"/>
        <v>2.6946652122127874</v>
      </c>
      <c r="G42" s="661">
        <f t="shared" si="8"/>
        <v>2.6381365475184153</v>
      </c>
      <c r="H42" s="661">
        <f t="shared" si="8"/>
        <v>0</v>
      </c>
      <c r="I42" s="661">
        <f t="shared" si="8"/>
        <v>0.61689493413528751</v>
      </c>
      <c r="J42" s="661">
        <f t="shared" si="8"/>
        <v>0</v>
      </c>
      <c r="K42" s="661">
        <f t="shared" si="8"/>
        <v>0.40500000000000003</v>
      </c>
      <c r="L42" s="665">
        <f>SUM(D42:INDEX(D42:K42,0,MATCH('RFPR cover'!$C$7,$D$6:$K$6,0)))</f>
        <v>5.9496966938664899</v>
      </c>
      <c r="M42" s="666">
        <f t="shared" si="5"/>
        <v>6.3546966938664902</v>
      </c>
    </row>
    <row r="43" spans="1:14" s="2" customFormat="1">
      <c r="A43" s="159" t="str">
        <f t="shared" si="3"/>
        <v>e</v>
      </c>
      <c r="B43" s="33" t="str">
        <f>$B$15&amp;""</f>
        <v xml:space="preserve">Performance re offers of timely connection </v>
      </c>
      <c r="C43" s="154" t="str">
        <f>'RFPR cover'!$C$14</f>
        <v>£m 09/10</v>
      </c>
      <c r="D43" s="661">
        <f>D67</f>
        <v>-3.7549009222116486E-2</v>
      </c>
      <c r="E43" s="661">
        <f t="shared" ref="E43:K43" si="9">E67</f>
        <v>-2.4842980806604163E-2</v>
      </c>
      <c r="F43" s="661">
        <f t="shared" si="9"/>
        <v>0</v>
      </c>
      <c r="G43" s="661">
        <f t="shared" si="9"/>
        <v>0</v>
      </c>
      <c r="H43" s="661">
        <f t="shared" si="9"/>
        <v>-1.7279407112708586E-2</v>
      </c>
      <c r="I43" s="661">
        <f t="shared" si="9"/>
        <v>0</v>
      </c>
      <c r="J43" s="661">
        <f t="shared" si="9"/>
        <v>0</v>
      </c>
      <c r="K43" s="661">
        <f t="shared" si="9"/>
        <v>-4.0500000000000008E-2</v>
      </c>
      <c r="L43" s="665">
        <f>SUM(D43:INDEX(D43:K43,0,MATCH('RFPR cover'!$C$7,$D$6:$K$6,0)))</f>
        <v>-7.9671397141429234E-2</v>
      </c>
      <c r="M43" s="666">
        <f t="shared" si="5"/>
        <v>-0.12017139714142924</v>
      </c>
    </row>
    <row r="44" spans="1:14" s="2" customFormat="1">
      <c r="A44" s="159" t="str">
        <f t="shared" si="3"/>
        <v>f</v>
      </c>
      <c r="B44" s="33" t="str">
        <f>$B$16&amp;""</f>
        <v/>
      </c>
      <c r="C44" s="154" t="str">
        <f>'RFPR cover'!$C$14</f>
        <v>£m 09/10</v>
      </c>
      <c r="D44" s="661">
        <f>D71</f>
        <v>0</v>
      </c>
      <c r="E44" s="661">
        <f t="shared" ref="E44:K44" si="10">E71</f>
        <v>0</v>
      </c>
      <c r="F44" s="661">
        <f t="shared" si="10"/>
        <v>0</v>
      </c>
      <c r="G44" s="661">
        <f t="shared" si="10"/>
        <v>0</v>
      </c>
      <c r="H44" s="661">
        <f t="shared" si="10"/>
        <v>0</v>
      </c>
      <c r="I44" s="661">
        <f t="shared" si="10"/>
        <v>0</v>
      </c>
      <c r="J44" s="661">
        <f t="shared" si="10"/>
        <v>0</v>
      </c>
      <c r="K44" s="661">
        <f t="shared" si="10"/>
        <v>0</v>
      </c>
      <c r="L44" s="665">
        <f>SUM(D44:INDEX(D44:K44,0,MATCH('RFPR cover'!$C$7,$D$6:$K$6,0)))</f>
        <v>0</v>
      </c>
      <c r="M44" s="666">
        <f t="shared" si="5"/>
        <v>0</v>
      </c>
    </row>
    <row r="45" spans="1:14" s="2" customFormat="1">
      <c r="A45" s="159" t="str">
        <f t="shared" si="3"/>
        <v>g</v>
      </c>
      <c r="B45" s="33" t="str">
        <f>$B$17&amp;""</f>
        <v/>
      </c>
      <c r="C45" s="154" t="str">
        <f>'RFPR cover'!$C$14</f>
        <v>£m 09/10</v>
      </c>
      <c r="D45" s="661">
        <f>D75</f>
        <v>0</v>
      </c>
      <c r="E45" s="661">
        <f t="shared" ref="E45:K45" si="11">E75</f>
        <v>0</v>
      </c>
      <c r="F45" s="661">
        <f t="shared" si="11"/>
        <v>0</v>
      </c>
      <c r="G45" s="661">
        <f t="shared" si="11"/>
        <v>0</v>
      </c>
      <c r="H45" s="661">
        <f t="shared" si="11"/>
        <v>0</v>
      </c>
      <c r="I45" s="661">
        <f t="shared" si="11"/>
        <v>0</v>
      </c>
      <c r="J45" s="661">
        <f t="shared" si="11"/>
        <v>0</v>
      </c>
      <c r="K45" s="661">
        <f t="shared" si="11"/>
        <v>0</v>
      </c>
      <c r="L45" s="665">
        <f>SUM(D45:INDEX(D45:K45,0,MATCH('RFPR cover'!$C$7,$D$6:$K$6,0)))</f>
        <v>0</v>
      </c>
      <c r="M45" s="666">
        <f t="shared" si="5"/>
        <v>0</v>
      </c>
    </row>
    <row r="46" spans="1:14" s="2" customFormat="1">
      <c r="B46" s="12" t="s">
        <v>200</v>
      </c>
      <c r="C46" s="155" t="str">
        <f>'RFPR cover'!$C$14</f>
        <v>£m 09/10</v>
      </c>
      <c r="D46" s="600">
        <f>SUM(D39:D45)</f>
        <v>1.6718359856013931</v>
      </c>
      <c r="E46" s="600">
        <f t="shared" ref="E46:M46" si="12">SUM(E39:E45)</f>
        <v>2.1876139241517305</v>
      </c>
      <c r="F46" s="600">
        <f t="shared" si="12"/>
        <v>5.0483889393298851</v>
      </c>
      <c r="G46" s="600">
        <f t="shared" si="12"/>
        <v>5.8079996378629248</v>
      </c>
      <c r="H46" s="601">
        <f t="shared" si="12"/>
        <v>3.6478483580938397</v>
      </c>
      <c r="I46" s="601">
        <f t="shared" si="12"/>
        <v>3.5238008037678568</v>
      </c>
      <c r="J46" s="601">
        <f t="shared" si="12"/>
        <v>3.4457701635624853</v>
      </c>
      <c r="K46" s="601">
        <f t="shared" si="12"/>
        <v>2.0249999999999999</v>
      </c>
      <c r="L46" s="600">
        <f t="shared" si="12"/>
        <v>25.333257812370114</v>
      </c>
      <c r="M46" s="600">
        <f t="shared" si="12"/>
        <v>27.358257812370116</v>
      </c>
    </row>
    <row r="47" spans="1:14" s="2" customFormat="1">
      <c r="B47" s="12"/>
      <c r="C47" s="155"/>
      <c r="D47" s="155"/>
      <c r="E47" s="155"/>
      <c r="F47" s="155"/>
      <c r="G47" s="155"/>
      <c r="H47" s="155"/>
      <c r="I47" s="155"/>
      <c r="J47" s="155"/>
      <c r="K47" s="155"/>
      <c r="L47" s="155"/>
      <c r="M47" s="155"/>
    </row>
    <row r="48" spans="1:14" s="2" customFormat="1">
      <c r="B48" s="12"/>
      <c r="C48" s="155"/>
      <c r="D48" s="160"/>
      <c r="E48" s="155"/>
      <c r="F48" s="155"/>
      <c r="G48" s="155"/>
      <c r="H48" s="155"/>
      <c r="I48" s="155"/>
      <c r="J48" s="155"/>
      <c r="K48" s="155"/>
      <c r="L48" s="155"/>
      <c r="M48" s="155"/>
    </row>
    <row r="49" spans="1:13" s="2" customFormat="1">
      <c r="A49" s="159" t="str">
        <f>$A$11</f>
        <v>a</v>
      </c>
      <c r="B49" s="170" t="str">
        <f>INDEX($B$11:$B$15,MATCH($A49,$A$11:$A$15,0),0)&amp;""</f>
        <v>Network Reliability Incentive</v>
      </c>
      <c r="C49" s="154" t="str">
        <f>'RFPR cover'!$C$14</f>
        <v>£m 09/10</v>
      </c>
      <c r="D49" s="775">
        <f>INDEX($D$11:$K$17,MATCH($A49,$A$11:$A$17,0),0)</f>
        <v>1.8999480519480521</v>
      </c>
      <c r="E49" s="775">
        <f t="shared" ref="E49:K49" si="13">INDEX($D$11:$K$17,MATCH($A49,$A$11:$A$17,0),0)</f>
        <v>2.2501265822784804</v>
      </c>
      <c r="F49" s="775">
        <f t="shared" si="13"/>
        <v>2.1112000000000002</v>
      </c>
      <c r="G49" s="775">
        <f t="shared" si="13"/>
        <v>2.1468430666666665</v>
      </c>
      <c r="H49" s="775">
        <f t="shared" si="13"/>
        <v>2.1921975308641977</v>
      </c>
      <c r="I49" s="775">
        <f t="shared" si="13"/>
        <v>1.8326884773430947</v>
      </c>
      <c r="J49" s="775">
        <f t="shared" si="13"/>
        <v>2.1904197530864198</v>
      </c>
      <c r="K49" s="775">
        <f t="shared" si="13"/>
        <v>1</v>
      </c>
      <c r="L49" s="775">
        <f>SUM(D49:INDEX(D49:K49,0,MATCH('RFPR cover'!$C$7,$D$6:$K$6,0)))</f>
        <v>14.623423462186912</v>
      </c>
      <c r="M49" s="776">
        <f>SUM(D49:K49)</f>
        <v>15.623423462186912</v>
      </c>
    </row>
    <row r="50" spans="1:13" s="2" customFormat="1">
      <c r="A50" s="159"/>
      <c r="B50" s="33" t="s">
        <v>197</v>
      </c>
      <c r="C50" s="291" t="s">
        <v>198</v>
      </c>
      <c r="D50" s="878">
        <f>IF($C50=$B$33,$B$33,INDEX(Data!$G$14:$G$30,MATCH('R5 - Output Incentives'!D$6+RIGHT('R5 - Output Incentives'!$C50,2),Data!$C$14:$C$30,0),0))</f>
        <v>0.2</v>
      </c>
      <c r="E50" s="879">
        <f>IF($C50=$B$33,$B$33,INDEX(Data!$G$14:$G$30,MATCH('R5 - Output Incentives'!E$6+RIGHT('R5 - Output Incentives'!$C50,2),Data!$C$14:$C$30,0),0))</f>
        <v>0.2</v>
      </c>
      <c r="F50" s="879">
        <f>IF($C50=$B$33,$B$33,INDEX(Data!$G$14:$G$30,MATCH('R5 - Output Incentives'!F$6+RIGHT('R5 - Output Incentives'!$C50,2),Data!$C$14:$C$30,0),0))</f>
        <v>0.19</v>
      </c>
      <c r="G50" s="879">
        <f>IF($C50=$B$33,$B$33,INDEX(Data!$G$14:$G$30,MATCH('R5 - Output Incentives'!G$6+RIGHT('R5 - Output Incentives'!$C50,2),Data!$C$14:$C$30,0),0))</f>
        <v>0.19</v>
      </c>
      <c r="H50" s="879">
        <f>IF($C50=$B$33,$B$33,INDEX(Data!$G$14:$G$30,MATCH('R5 - Output Incentives'!H$6+RIGHT('R5 - Output Incentives'!$C50,2),Data!$C$14:$C$30,0),0))</f>
        <v>0.19</v>
      </c>
      <c r="I50" s="879">
        <f>IF($C50=$B$33,$B$33,INDEX(Data!$G$14:$G$30,MATCH('R5 - Output Incentives'!I$6+RIGHT('R5 - Output Incentives'!$C50,2),Data!$C$14:$C$30,0),0))</f>
        <v>0.19</v>
      </c>
      <c r="J50" s="879">
        <f>IF($C50=$B$33,$B$33,INDEX(Data!$G$14:$G$30,MATCH('R5 - Output Incentives'!J$6+RIGHT('R5 - Output Incentives'!$C50,2),Data!$C$14:$C$30,0),0))</f>
        <v>0.19</v>
      </c>
      <c r="K50" s="880">
        <f>IF($C50=$B$33,$B$33,INDEX(Data!$G$14:$G$30,MATCH('R5 - Output Incentives'!K$6+RIGHT('R5 - Output Incentives'!$C50,2),Data!$C$14:$C$30,0),0))</f>
        <v>0.19</v>
      </c>
      <c r="L50" s="777"/>
      <c r="M50" s="778"/>
    </row>
    <row r="51" spans="1:13" s="2" customFormat="1">
      <c r="A51" s="159"/>
      <c r="B51" s="33" t="s">
        <v>206</v>
      </c>
      <c r="C51" s="154"/>
      <c r="D51" s="600">
        <f>IFERROR(D49*(1-D50),0)</f>
        <v>1.5199584415584417</v>
      </c>
      <c r="E51" s="601">
        <f t="shared" ref="E51:K51" si="14">IFERROR(E49*(1-E50),0)</f>
        <v>1.8001012658227844</v>
      </c>
      <c r="F51" s="601">
        <f t="shared" si="14"/>
        <v>1.7100720000000003</v>
      </c>
      <c r="G51" s="601">
        <f t="shared" si="14"/>
        <v>1.7389428839999999</v>
      </c>
      <c r="H51" s="601">
        <f t="shared" si="14"/>
        <v>1.7756800000000001</v>
      </c>
      <c r="I51" s="601">
        <f t="shared" si="14"/>
        <v>1.4844776666479067</v>
      </c>
      <c r="J51" s="601">
        <f t="shared" si="14"/>
        <v>1.77424</v>
      </c>
      <c r="K51" s="601">
        <f t="shared" si="14"/>
        <v>0.81</v>
      </c>
      <c r="L51" s="659">
        <f>SUM(D51:INDEX(D51:K51,0,MATCH('RFPR cover'!$C$7,$D$6:$K$6,0)))</f>
        <v>11.803472258029133</v>
      </c>
      <c r="M51" s="660">
        <f>SUM(D51:K51)</f>
        <v>12.613472258029134</v>
      </c>
    </row>
    <row r="52" spans="1:13" s="2" customFormat="1">
      <c r="A52" s="159"/>
      <c r="B52" s="49"/>
      <c r="C52" s="155"/>
      <c r="D52" s="155"/>
      <c r="E52" s="155"/>
      <c r="F52" s="155"/>
      <c r="G52" s="155"/>
      <c r="H52" s="155"/>
      <c r="I52" s="155"/>
      <c r="J52" s="155"/>
      <c r="K52" s="155"/>
      <c r="L52" s="155"/>
      <c r="M52" s="155"/>
    </row>
    <row r="53" spans="1:13" s="2" customFormat="1">
      <c r="A53" s="159" t="str">
        <f>$A$12</f>
        <v>b</v>
      </c>
      <c r="B53" s="170" t="str">
        <f>INDEX($B$11:$B$15,MATCH($A53,$A$11:$A$15,0),0)&amp;""</f>
        <v>Stakeholder Satisfaction Output</v>
      </c>
      <c r="C53" s="154" t="str">
        <f>'RFPR cover'!$C$14</f>
        <v>£m 09/10</v>
      </c>
      <c r="D53" s="775">
        <f>INDEX($D$11:$K$17,MATCH($A53,$A$11:$A$17,0),0)</f>
        <v>0.34488714391899705</v>
      </c>
      <c r="E53" s="775">
        <f t="shared" ref="E53:K53" si="15">INDEX($D$11:$K$17,MATCH($A53,$A$11:$A$17,0),0)</f>
        <v>0.54267013075614579</v>
      </c>
      <c r="F53" s="775">
        <f t="shared" si="15"/>
        <v>0.75883366908795924</v>
      </c>
      <c r="G53" s="775">
        <f t="shared" si="15"/>
        <v>1.6044716326868131</v>
      </c>
      <c r="H53" s="775">
        <f t="shared" si="15"/>
        <v>2.1627538709833929</v>
      </c>
      <c r="I53" s="775">
        <f t="shared" si="15"/>
        <v>1.7470156523421758</v>
      </c>
      <c r="J53" s="775">
        <f t="shared" si="15"/>
        <v>1.7660636130154135</v>
      </c>
      <c r="K53" s="775">
        <f t="shared" si="15"/>
        <v>1</v>
      </c>
      <c r="L53" s="661">
        <f>SUM(D53:INDEX(D53:K53,0,MATCH('RFPR cover'!$C$7,$D$6:$K$6,0)))</f>
        <v>8.926695712790897</v>
      </c>
      <c r="M53" s="662">
        <f>SUM(D53:K53)</f>
        <v>9.926695712790897</v>
      </c>
    </row>
    <row r="54" spans="1:13" s="2" customFormat="1">
      <c r="A54" s="159"/>
      <c r="B54" s="33" t="s">
        <v>197</v>
      </c>
      <c r="C54" s="291" t="s">
        <v>198</v>
      </c>
      <c r="D54" s="878">
        <f>IF($C54=$B$33,$B$33,INDEX(Data!$G$14:$G$30,MATCH('R5 - Output Incentives'!D$6+RIGHT('R5 - Output Incentives'!$C54,2),Data!$C$14:$C$30,0),0))</f>
        <v>0.2</v>
      </c>
      <c r="E54" s="879">
        <f>IF($C54=$B$33,$B$33,INDEX(Data!$G$14:$G$30,MATCH('R5 - Output Incentives'!E$6+RIGHT('R5 - Output Incentives'!$C54,2),Data!$C$14:$C$30,0),0))</f>
        <v>0.2</v>
      </c>
      <c r="F54" s="879">
        <f>IF($C54=$B$33,$B$33,INDEX(Data!$G$14:$G$30,MATCH('R5 - Output Incentives'!F$6+RIGHT('R5 - Output Incentives'!$C54,2),Data!$C$14:$C$30,0),0))</f>
        <v>0.19</v>
      </c>
      <c r="G54" s="879">
        <f>IF($C54=$B$33,$B$33,INDEX(Data!$G$14:$G$30,MATCH('R5 - Output Incentives'!G$6+RIGHT('R5 - Output Incentives'!$C54,2),Data!$C$14:$C$30,0),0))</f>
        <v>0.19</v>
      </c>
      <c r="H54" s="879">
        <f>IF($C54=$B$33,$B$33,INDEX(Data!$G$14:$G$30,MATCH('R5 - Output Incentives'!H$6+RIGHT('R5 - Output Incentives'!$C54,2),Data!$C$14:$C$30,0),0))</f>
        <v>0.19</v>
      </c>
      <c r="I54" s="879">
        <f>IF($C54=$B$33,$B$33,INDEX(Data!$G$14:$G$30,MATCH('R5 - Output Incentives'!I$6+RIGHT('R5 - Output Incentives'!$C54,2),Data!$C$14:$C$30,0),0))</f>
        <v>0.19</v>
      </c>
      <c r="J54" s="879">
        <f>IF($C54=$B$33,$B$33,INDEX(Data!$G$14:$G$30,MATCH('R5 - Output Incentives'!J$6+RIGHT('R5 - Output Incentives'!$C54,2),Data!$C$14:$C$30,0),0))</f>
        <v>0.19</v>
      </c>
      <c r="K54" s="880">
        <f>IF($C54=$B$33,$B$33,INDEX(Data!$G$14:$G$30,MATCH('R5 - Output Incentives'!K$6+RIGHT('R5 - Output Incentives'!$C54,2),Data!$C$14:$C$30,0),0))</f>
        <v>0.19</v>
      </c>
      <c r="L54" s="777"/>
      <c r="M54" s="778"/>
    </row>
    <row r="55" spans="1:13" s="2" customFormat="1">
      <c r="A55" s="159"/>
      <c r="B55" s="33" t="s">
        <v>206</v>
      </c>
      <c r="C55" s="154"/>
      <c r="D55" s="600">
        <f>IFERROR(D53*(1-D54),0)</f>
        <v>0.27590971513519763</v>
      </c>
      <c r="E55" s="601">
        <f t="shared" ref="E55:K55" si="16">IFERROR(E53*(1-E54),0)</f>
        <v>0.43413610460491664</v>
      </c>
      <c r="F55" s="601">
        <f t="shared" si="16"/>
        <v>0.61465527196124703</v>
      </c>
      <c r="G55" s="601">
        <f t="shared" si="16"/>
        <v>1.2996220224763186</v>
      </c>
      <c r="H55" s="601">
        <f t="shared" si="16"/>
        <v>1.7518306354965483</v>
      </c>
      <c r="I55" s="601">
        <f t="shared" si="16"/>
        <v>1.4150826783971624</v>
      </c>
      <c r="J55" s="601">
        <f t="shared" si="16"/>
        <v>1.430511526542485</v>
      </c>
      <c r="K55" s="601">
        <f t="shared" si="16"/>
        <v>0.81</v>
      </c>
      <c r="L55" s="659">
        <f>SUM(D55:INDEX(D55:K55,0,MATCH('RFPR cover'!$C$7,$D$6:$K$6,0)))</f>
        <v>7.2217479546138765</v>
      </c>
      <c r="M55" s="660">
        <f>SUM(D55:K55)</f>
        <v>8.031747954613877</v>
      </c>
    </row>
    <row r="56" spans="1:13" s="2" customFormat="1">
      <c r="A56" s="159"/>
      <c r="B56" s="49"/>
      <c r="C56" s="155"/>
      <c r="D56" s="155"/>
      <c r="E56" s="155"/>
      <c r="F56" s="155"/>
      <c r="G56" s="155"/>
      <c r="H56" s="155"/>
      <c r="I56" s="155"/>
      <c r="J56" s="155"/>
      <c r="K56" s="155"/>
      <c r="L56" s="155"/>
      <c r="M56" s="155"/>
    </row>
    <row r="57" spans="1:13" s="2" customFormat="1">
      <c r="A57" s="159" t="str">
        <f>$A$13</f>
        <v>c</v>
      </c>
      <c r="B57" s="170" t="str">
        <f>INDEX($B$11:$B$15,MATCH($A57,$A$11:$A$15,0),0)&amp;""</f>
        <v>SF6 Emissions</v>
      </c>
      <c r="C57" s="154" t="str">
        <f>'RFPR cover'!$C$14</f>
        <v>£m 09/10</v>
      </c>
      <c r="D57" s="775">
        <f>INDEX($D$11:$K$17,MATCH($A57,$A$11:$A$17,0),0)</f>
        <v>-0.10810395233766219</v>
      </c>
      <c r="E57" s="775">
        <f t="shared" ref="E57:K57" si="17">INDEX($D$11:$K$17,MATCH($A57,$A$11:$A$17,0),0)</f>
        <v>-2.7225581836708632E-2</v>
      </c>
      <c r="F57" s="775">
        <f t="shared" si="17"/>
        <v>3.5798092785000221E-2</v>
      </c>
      <c r="G57" s="775">
        <f t="shared" si="17"/>
        <v>0.16209652329406277</v>
      </c>
      <c r="H57" s="775">
        <f t="shared" si="17"/>
        <v>0.16989769100000021</v>
      </c>
      <c r="I57" s="775">
        <f t="shared" si="17"/>
        <v>9.0685488734569795E-3</v>
      </c>
      <c r="J57" s="775">
        <f t="shared" si="17"/>
        <v>0.29755387286419771</v>
      </c>
      <c r="K57" s="775">
        <f t="shared" si="17"/>
        <v>0.05</v>
      </c>
      <c r="L57" s="661">
        <f>SUM(D57:INDEX(D57:K57,0,MATCH('RFPR cover'!$C$7,$D$6:$K$6,0)))</f>
        <v>0.53908519464234705</v>
      </c>
      <c r="M57" s="662">
        <f>SUM(D57:K57)</f>
        <v>0.5890851946423471</v>
      </c>
    </row>
    <row r="58" spans="1:13" s="2" customFormat="1">
      <c r="A58" s="159"/>
      <c r="B58" s="33" t="s">
        <v>197</v>
      </c>
      <c r="C58" s="291" t="s">
        <v>198</v>
      </c>
      <c r="D58" s="878">
        <f>IF($C58=$B$33,$B$33,INDEX(Data!$G$14:$G$30,MATCH('R5 - Output Incentives'!D$6+RIGHT('R5 - Output Incentives'!$C58,2),Data!$C$14:$C$30,0),0))</f>
        <v>0.2</v>
      </c>
      <c r="E58" s="879">
        <f>IF($C58=$B$33,$B$33,INDEX(Data!$G$14:$G$30,MATCH('R5 - Output Incentives'!E$6+RIGHT('R5 - Output Incentives'!$C58,2),Data!$C$14:$C$30,0),0))</f>
        <v>0.2</v>
      </c>
      <c r="F58" s="879">
        <f>IF($C58=$B$33,$B$33,INDEX(Data!$G$14:$G$30,MATCH('R5 - Output Incentives'!F$6+RIGHT('R5 - Output Incentives'!$C58,2),Data!$C$14:$C$30,0),0))</f>
        <v>0.19</v>
      </c>
      <c r="G58" s="879">
        <f>IF($C58=$B$33,$B$33,INDEX(Data!$G$14:$G$30,MATCH('R5 - Output Incentives'!G$6+RIGHT('R5 - Output Incentives'!$C58,2),Data!$C$14:$C$30,0),0))</f>
        <v>0.19</v>
      </c>
      <c r="H58" s="879">
        <f>IF($C58=$B$33,$B$33,INDEX(Data!$G$14:$G$30,MATCH('R5 - Output Incentives'!H$6+RIGHT('R5 - Output Incentives'!$C58,2),Data!$C$14:$C$30,0),0))</f>
        <v>0.19</v>
      </c>
      <c r="I58" s="879">
        <f>IF($C58=$B$33,$B$33,INDEX(Data!$G$14:$G$30,MATCH('R5 - Output Incentives'!I$6+RIGHT('R5 - Output Incentives'!$C58,2),Data!$C$14:$C$30,0),0))</f>
        <v>0.19</v>
      </c>
      <c r="J58" s="879">
        <f>IF($C58=$B$33,$B$33,INDEX(Data!$G$14:$G$30,MATCH('R5 - Output Incentives'!J$6+RIGHT('R5 - Output Incentives'!$C58,2),Data!$C$14:$C$30,0),0))</f>
        <v>0.19</v>
      </c>
      <c r="K58" s="880">
        <f>IF($C58=$B$33,$B$33,INDEX(Data!$G$14:$G$30,MATCH('R5 - Output Incentives'!K$6+RIGHT('R5 - Output Incentives'!$C58,2),Data!$C$14:$C$30,0),0))</f>
        <v>0.19</v>
      </c>
      <c r="L58" s="777"/>
      <c r="M58" s="778"/>
    </row>
    <row r="59" spans="1:13" s="2" customFormat="1">
      <c r="A59" s="159"/>
      <c r="B59" s="33" t="s">
        <v>206</v>
      </c>
      <c r="C59" s="154"/>
      <c r="D59" s="600">
        <f>IFERROR(D57*(1-D58),0)</f>
        <v>-8.6483161870129763E-2</v>
      </c>
      <c r="E59" s="601">
        <f t="shared" ref="E59:K59" si="18">IFERROR(E57*(1-E58),0)</f>
        <v>-2.1780465469366905E-2</v>
      </c>
      <c r="F59" s="601">
        <f t="shared" si="18"/>
        <v>2.8996455155850181E-2</v>
      </c>
      <c r="G59" s="601">
        <f t="shared" si="18"/>
        <v>0.13129818386819084</v>
      </c>
      <c r="H59" s="601">
        <f t="shared" si="18"/>
        <v>0.13761712971000017</v>
      </c>
      <c r="I59" s="601">
        <f t="shared" si="18"/>
        <v>7.3455245875001535E-3</v>
      </c>
      <c r="J59" s="601">
        <f t="shared" si="18"/>
        <v>0.24101863702000015</v>
      </c>
      <c r="K59" s="601">
        <f t="shared" si="18"/>
        <v>4.0500000000000008E-2</v>
      </c>
      <c r="L59" s="659">
        <f>SUM(D59:INDEX(D59:K59,0,MATCH('RFPR cover'!$C$7,$D$6:$K$6,0)))</f>
        <v>0.43801230300204486</v>
      </c>
      <c r="M59" s="660">
        <f>SUM(D59:K59)</f>
        <v>0.47851230300204484</v>
      </c>
    </row>
    <row r="60" spans="1:13" s="2" customFormat="1">
      <c r="A60" s="159"/>
      <c r="B60" s="49"/>
      <c r="C60" s="155"/>
      <c r="D60" s="155"/>
      <c r="E60" s="155"/>
      <c r="F60" s="155"/>
      <c r="G60" s="155"/>
      <c r="H60" s="155"/>
      <c r="I60" s="155"/>
      <c r="J60" s="155"/>
      <c r="K60" s="155"/>
      <c r="L60" s="155"/>
      <c r="M60" s="155"/>
    </row>
    <row r="61" spans="1:13" s="2" customFormat="1">
      <c r="A61" s="159" t="str">
        <f>$A$14</f>
        <v>d</v>
      </c>
      <c r="B61" s="170" t="str">
        <f>INDEX($B$11:$B$15,MATCH($A61,$A$11:$A$15,0),0)&amp;""</f>
        <v>Environmental Discretionary Reward</v>
      </c>
      <c r="C61" s="154" t="str">
        <f>'RFPR cover'!$C$14</f>
        <v>£m 09/10</v>
      </c>
      <c r="D61" s="775">
        <f>INDEX($D$11:$K$17,MATCH($A61,$A$11:$A$17,0),0)</f>
        <v>0</v>
      </c>
      <c r="E61" s="775">
        <f t="shared" ref="E61:K61" si="19">INDEX($D$11:$K$17,MATCH($A61,$A$11:$A$17,0),0)</f>
        <v>0</v>
      </c>
      <c r="F61" s="775">
        <f t="shared" si="19"/>
        <v>3.326747175571342</v>
      </c>
      <c r="G61" s="775">
        <f t="shared" si="19"/>
        <v>3.2569587006400189</v>
      </c>
      <c r="H61" s="775">
        <f t="shared" si="19"/>
        <v>0</v>
      </c>
      <c r="I61" s="775">
        <f t="shared" si="19"/>
        <v>0.76159868411763887</v>
      </c>
      <c r="J61" s="775">
        <f t="shared" si="19"/>
        <v>0</v>
      </c>
      <c r="K61" s="775">
        <f t="shared" si="19"/>
        <v>0.5</v>
      </c>
      <c r="L61" s="661">
        <f>SUM(D61:INDEX(D61:K61,0,MATCH('RFPR cover'!$C$7,$D$6:$K$6,0)))</f>
        <v>7.3453045603290006</v>
      </c>
      <c r="M61" s="662">
        <f>SUM(D61:K61)</f>
        <v>7.8453045603290006</v>
      </c>
    </row>
    <row r="62" spans="1:13" s="2" customFormat="1">
      <c r="A62" s="159"/>
      <c r="B62" s="33" t="s">
        <v>197</v>
      </c>
      <c r="C62" s="291" t="s">
        <v>198</v>
      </c>
      <c r="D62" s="878">
        <f>IF($C62=$B$33,$B$33,INDEX(Data!$G$14:$G$30,MATCH('R5 - Output Incentives'!D$6+RIGHT('R5 - Output Incentives'!$C62,2),Data!$C$14:$C$30,0),0))</f>
        <v>0.2</v>
      </c>
      <c r="E62" s="879">
        <f>IF($C62=$B$33,$B$33,INDEX(Data!$G$14:$G$30,MATCH('R5 - Output Incentives'!E$6+RIGHT('R5 - Output Incentives'!$C62,2),Data!$C$14:$C$30,0),0))</f>
        <v>0.2</v>
      </c>
      <c r="F62" s="879">
        <f>IF($C62=$B$33,$B$33,INDEX(Data!$G$14:$G$30,MATCH('R5 - Output Incentives'!F$6+RIGHT('R5 - Output Incentives'!$C62,2),Data!$C$14:$C$30,0),0))</f>
        <v>0.19</v>
      </c>
      <c r="G62" s="879">
        <f>IF($C62=$B$33,$B$33,INDEX(Data!$G$14:$G$30,MATCH('R5 - Output Incentives'!G$6+RIGHT('R5 - Output Incentives'!$C62,2),Data!$C$14:$C$30,0),0))</f>
        <v>0.19</v>
      </c>
      <c r="H62" s="879">
        <f>IF($C62=$B$33,$B$33,INDEX(Data!$G$14:$G$30,MATCH('R5 - Output Incentives'!H$6+RIGHT('R5 - Output Incentives'!$C62,2),Data!$C$14:$C$30,0),0))</f>
        <v>0.19</v>
      </c>
      <c r="I62" s="879">
        <f>IF($C62=$B$33,$B$33,INDEX(Data!$G$14:$G$30,MATCH('R5 - Output Incentives'!I$6+RIGHT('R5 - Output Incentives'!$C62,2),Data!$C$14:$C$30,0),0))</f>
        <v>0.19</v>
      </c>
      <c r="J62" s="879">
        <f>IF($C62=$B$33,$B$33,INDEX(Data!$G$14:$G$30,MATCH('R5 - Output Incentives'!J$6+RIGHT('R5 - Output Incentives'!$C62,2),Data!$C$14:$C$30,0),0))</f>
        <v>0.19</v>
      </c>
      <c r="K62" s="880">
        <f>IF($C62=$B$33,$B$33,INDEX(Data!$G$14:$G$30,MATCH('R5 - Output Incentives'!K$6+RIGHT('R5 - Output Incentives'!$C62,2),Data!$C$14:$C$30,0),0))</f>
        <v>0.19</v>
      </c>
      <c r="L62" s="777"/>
      <c r="M62" s="778"/>
    </row>
    <row r="63" spans="1:13" s="2" customFormat="1">
      <c r="A63" s="159"/>
      <c r="B63" s="33" t="s">
        <v>206</v>
      </c>
      <c r="C63" s="154"/>
      <c r="D63" s="600">
        <f>IFERROR(D61*(1-D62),0)</f>
        <v>0</v>
      </c>
      <c r="E63" s="601">
        <f t="shared" ref="E63:K63" si="20">IFERROR(E61*(1-E62),0)</f>
        <v>0</v>
      </c>
      <c r="F63" s="601">
        <f t="shared" si="20"/>
        <v>2.6946652122127874</v>
      </c>
      <c r="G63" s="601">
        <f t="shared" si="20"/>
        <v>2.6381365475184153</v>
      </c>
      <c r="H63" s="601">
        <f t="shared" si="20"/>
        <v>0</v>
      </c>
      <c r="I63" s="601">
        <f t="shared" si="20"/>
        <v>0.61689493413528751</v>
      </c>
      <c r="J63" s="601">
        <f t="shared" si="20"/>
        <v>0</v>
      </c>
      <c r="K63" s="601">
        <f t="shared" si="20"/>
        <v>0.40500000000000003</v>
      </c>
      <c r="L63" s="659">
        <f>SUM(D63:INDEX(D63:K63,0,MATCH('RFPR cover'!$C$7,$D$6:$K$6,0)))</f>
        <v>5.9496966938664899</v>
      </c>
      <c r="M63" s="660">
        <f>SUM(D63:K63)</f>
        <v>6.3546966938664902</v>
      </c>
    </row>
    <row r="64" spans="1:13" s="2" customFormat="1">
      <c r="A64" s="159"/>
      <c r="B64" s="49"/>
      <c r="C64" s="155"/>
      <c r="D64" s="155"/>
      <c r="E64" s="155"/>
      <c r="F64" s="155"/>
      <c r="G64" s="155"/>
      <c r="H64" s="155"/>
      <c r="I64" s="155"/>
      <c r="J64" s="155"/>
      <c r="K64" s="155"/>
      <c r="L64" s="155"/>
      <c r="M64" s="155"/>
    </row>
    <row r="65" spans="1:14" s="2" customFormat="1">
      <c r="A65" s="159" t="str">
        <f>$A$15</f>
        <v>e</v>
      </c>
      <c r="B65" s="170" t="str">
        <f>INDEX($B$11:$B$15,MATCH($A65,$A$11:$A$15,0),0)&amp;""</f>
        <v xml:space="preserve">Performance re offers of timely connection </v>
      </c>
      <c r="C65" s="154" t="str">
        <f>'RFPR cover'!$C$14</f>
        <v>£m 09/10</v>
      </c>
      <c r="D65" s="775">
        <f>INDEX($D$11:$K$17,MATCH($A65,$A$11:$A$17,0),0)</f>
        <v>-4.6936261527645608E-2</v>
      </c>
      <c r="E65" s="775">
        <f t="shared" ref="E65:K65" si="21">INDEX($D$11:$K$17,MATCH($A65,$A$11:$A$17,0),0)</f>
        <v>-3.1053726008255202E-2</v>
      </c>
      <c r="F65" s="775">
        <f t="shared" si="21"/>
        <v>0</v>
      </c>
      <c r="G65" s="775">
        <f t="shared" si="21"/>
        <v>0</v>
      </c>
      <c r="H65" s="775">
        <f t="shared" si="21"/>
        <v>-2.1332601373714302E-2</v>
      </c>
      <c r="I65" s="775">
        <f t="shared" si="21"/>
        <v>0</v>
      </c>
      <c r="J65" s="775">
        <f t="shared" si="21"/>
        <v>0</v>
      </c>
      <c r="K65" s="775">
        <f t="shared" si="21"/>
        <v>-0.05</v>
      </c>
      <c r="L65" s="661">
        <f>SUM(D65:INDEX(D65:K65,0,MATCH('RFPR cover'!$C$7,$D$6:$K$6,0)))</f>
        <v>-9.9322588909615109E-2</v>
      </c>
      <c r="M65" s="662">
        <f>SUM(D65:K65)</f>
        <v>-0.14932258890961511</v>
      </c>
    </row>
    <row r="66" spans="1:14" s="2" customFormat="1">
      <c r="A66" s="159"/>
      <c r="B66" s="33" t="s">
        <v>197</v>
      </c>
      <c r="C66" s="291" t="s">
        <v>198</v>
      </c>
      <c r="D66" s="878">
        <f>IF($C66=$B$33,$B$33,INDEX(Data!$G$14:$G$30,MATCH('R5 - Output Incentives'!D$6+RIGHT('R5 - Output Incentives'!$C66,2),Data!$C$14:$C$30,0),0))</f>
        <v>0.2</v>
      </c>
      <c r="E66" s="879">
        <f>IF($C66=$B$33,$B$33,INDEX(Data!$G$14:$G$30,MATCH('R5 - Output Incentives'!E$6+RIGHT('R5 - Output Incentives'!$C66,2),Data!$C$14:$C$30,0),0))</f>
        <v>0.2</v>
      </c>
      <c r="F66" s="879">
        <f>IF($C66=$B$33,$B$33,INDEX(Data!$G$14:$G$30,MATCH('R5 - Output Incentives'!F$6+RIGHT('R5 - Output Incentives'!$C66,2),Data!$C$14:$C$30,0),0))</f>
        <v>0.19</v>
      </c>
      <c r="G66" s="879">
        <f>IF($C66=$B$33,$B$33,INDEX(Data!$G$14:$G$30,MATCH('R5 - Output Incentives'!G$6+RIGHT('R5 - Output Incentives'!$C66,2),Data!$C$14:$C$30,0),0))</f>
        <v>0.19</v>
      </c>
      <c r="H66" s="879">
        <f>IF($C66=$B$33,$B$33,INDEX(Data!$G$14:$G$30,MATCH('R5 - Output Incentives'!H$6+RIGHT('R5 - Output Incentives'!$C66,2),Data!$C$14:$C$30,0),0))</f>
        <v>0.19</v>
      </c>
      <c r="I66" s="879">
        <f>IF($C66=$B$33,$B$33,INDEX(Data!$G$14:$G$30,MATCH('R5 - Output Incentives'!I$6+RIGHT('R5 - Output Incentives'!$C66,2),Data!$C$14:$C$30,0),0))</f>
        <v>0.19</v>
      </c>
      <c r="J66" s="879">
        <f>IF($C66=$B$33,$B$33,INDEX(Data!$G$14:$G$30,MATCH('R5 - Output Incentives'!J$6+RIGHT('R5 - Output Incentives'!$C66,2),Data!$C$14:$C$30,0),0))</f>
        <v>0.19</v>
      </c>
      <c r="K66" s="880">
        <f>IF($C66=$B$33,$B$33,INDEX(Data!$G$14:$G$30,MATCH('R5 - Output Incentives'!K$6+RIGHT('R5 - Output Incentives'!$C66,2),Data!$C$14:$C$30,0),0))</f>
        <v>0.19</v>
      </c>
      <c r="L66" s="777"/>
      <c r="M66" s="778"/>
    </row>
    <row r="67" spans="1:14" s="2" customFormat="1">
      <c r="A67" s="159"/>
      <c r="B67" s="33" t="s">
        <v>206</v>
      </c>
      <c r="C67" s="154"/>
      <c r="D67" s="600">
        <f>IFERROR(D65*(1-D66),0)</f>
        <v>-3.7549009222116486E-2</v>
      </c>
      <c r="E67" s="601">
        <f t="shared" ref="E67:K67" si="22">IFERROR(E65*(1-E66),0)</f>
        <v>-2.4842980806604163E-2</v>
      </c>
      <c r="F67" s="601">
        <f t="shared" si="22"/>
        <v>0</v>
      </c>
      <c r="G67" s="601">
        <f t="shared" si="22"/>
        <v>0</v>
      </c>
      <c r="H67" s="601">
        <f t="shared" si="22"/>
        <v>-1.7279407112708586E-2</v>
      </c>
      <c r="I67" s="601">
        <f t="shared" si="22"/>
        <v>0</v>
      </c>
      <c r="J67" s="601">
        <f t="shared" si="22"/>
        <v>0</v>
      </c>
      <c r="K67" s="601">
        <f t="shared" si="22"/>
        <v>-4.0500000000000008E-2</v>
      </c>
      <c r="L67" s="659">
        <f>SUM(D67:INDEX(D67:K67,0,MATCH('RFPR cover'!$C$7,$D$6:$K$6,0)))</f>
        <v>-7.9671397141429234E-2</v>
      </c>
      <c r="M67" s="660">
        <f>SUM(D67:K67)</f>
        <v>-0.12017139714142924</v>
      </c>
    </row>
    <row r="68" spans="1:14" s="2" customFormat="1">
      <c r="A68" s="159"/>
      <c r="B68" s="49"/>
      <c r="C68" s="155"/>
      <c r="D68" s="155"/>
      <c r="E68" s="155"/>
      <c r="F68" s="155"/>
      <c r="G68" s="155"/>
      <c r="H68" s="155"/>
      <c r="I68" s="155"/>
      <c r="J68" s="155"/>
      <c r="K68" s="155"/>
      <c r="L68" s="155"/>
      <c r="M68" s="155"/>
    </row>
    <row r="69" spans="1:14" s="2" customFormat="1">
      <c r="A69" s="159" t="str">
        <f>$A$16</f>
        <v>f</v>
      </c>
      <c r="B69" s="170" t="str">
        <f>INDEX($B$11:$B$17,MATCH($A69,$A$11:$A$17,0),0)&amp;""</f>
        <v/>
      </c>
      <c r="C69" s="154" t="str">
        <f>'RFPR cover'!$C$14</f>
        <v>£m 09/10</v>
      </c>
      <c r="D69" s="775">
        <f>INDEX($D$11:$K$17,MATCH($A69,$A$11:$A$17,0),0)</f>
        <v>0</v>
      </c>
      <c r="E69" s="775">
        <f t="shared" ref="E69:K69" si="23">INDEX($D$11:$K$17,MATCH($A69,$A$11:$A$17,0),0)</f>
        <v>0</v>
      </c>
      <c r="F69" s="775">
        <f t="shared" si="23"/>
        <v>0</v>
      </c>
      <c r="G69" s="775">
        <f t="shared" si="23"/>
        <v>0</v>
      </c>
      <c r="H69" s="775">
        <f t="shared" si="23"/>
        <v>0</v>
      </c>
      <c r="I69" s="775">
        <f t="shared" si="23"/>
        <v>0</v>
      </c>
      <c r="J69" s="775">
        <f t="shared" si="23"/>
        <v>0</v>
      </c>
      <c r="K69" s="775">
        <f t="shared" si="23"/>
        <v>0</v>
      </c>
      <c r="L69" s="661">
        <f>SUM(D69:INDEX(D69:K69,0,MATCH('RFPR cover'!$C$7,$D$6:$K$6,0)))</f>
        <v>0</v>
      </c>
      <c r="M69" s="662">
        <f>SUM(D69:K69)</f>
        <v>0</v>
      </c>
    </row>
    <row r="70" spans="1:14" s="2" customFormat="1">
      <c r="A70" s="159"/>
      <c r="B70" s="33" t="s">
        <v>197</v>
      </c>
      <c r="C70" s="291" t="s">
        <v>237</v>
      </c>
      <c r="D70" s="878" t="str">
        <f>IF($C70=$B$33,$B$33,INDEX(Data!$G$14:$G$30,MATCH('R5 - Output Incentives'!D$6+RIGHT('R5 - Output Incentives'!$C70,2),Data!$C$14:$C$30,0),0))</f>
        <v>-</v>
      </c>
      <c r="E70" s="879" t="str">
        <f>IF($C70=$B$33,$B$33,INDEX(Data!$G$14:$G$30,MATCH('R5 - Output Incentives'!E$6+RIGHT('R5 - Output Incentives'!$C70,2),Data!$C$14:$C$30,0),0))</f>
        <v>-</v>
      </c>
      <c r="F70" s="879" t="str">
        <f>IF($C70=$B$33,$B$33,INDEX(Data!$G$14:$G$30,MATCH('R5 - Output Incentives'!F$6+RIGHT('R5 - Output Incentives'!$C70,2),Data!$C$14:$C$30,0),0))</f>
        <v>-</v>
      </c>
      <c r="G70" s="879" t="str">
        <f>IF($C70=$B$33,$B$33,INDEX(Data!$G$14:$G$30,MATCH('R5 - Output Incentives'!G$6+RIGHT('R5 - Output Incentives'!$C70,2),Data!$C$14:$C$30,0),0))</f>
        <v>-</v>
      </c>
      <c r="H70" s="879" t="str">
        <f>IF($C70=$B$33,$B$33,INDEX(Data!$G$14:$G$30,MATCH('R5 - Output Incentives'!H$6+RIGHT('R5 - Output Incentives'!$C70,2),Data!$C$14:$C$30,0),0))</f>
        <v>-</v>
      </c>
      <c r="I70" s="879" t="str">
        <f>IF($C70=$B$33,$B$33,INDEX(Data!$G$14:$G$30,MATCH('R5 - Output Incentives'!I$6+RIGHT('R5 - Output Incentives'!$C70,2),Data!$C$14:$C$30,0),0))</f>
        <v>-</v>
      </c>
      <c r="J70" s="879" t="str">
        <f>IF($C70=$B$33,$B$33,INDEX(Data!$G$14:$G$30,MATCH('R5 - Output Incentives'!J$6+RIGHT('R5 - Output Incentives'!$C70,2),Data!$C$14:$C$30,0),0))</f>
        <v>-</v>
      </c>
      <c r="K70" s="880" t="str">
        <f>IF($C70=$B$33,$B$33,INDEX(Data!$G$14:$G$30,MATCH('R5 - Output Incentives'!K$6+RIGHT('R5 - Output Incentives'!$C70,2),Data!$C$14:$C$30,0),0))</f>
        <v>-</v>
      </c>
      <c r="L70" s="777"/>
      <c r="M70" s="778"/>
    </row>
    <row r="71" spans="1:14" s="2" customFormat="1">
      <c r="A71" s="159"/>
      <c r="B71" s="33" t="s">
        <v>206</v>
      </c>
      <c r="C71" s="154"/>
      <c r="D71" s="600">
        <f>IFERROR(D69*(1-D70),0)</f>
        <v>0</v>
      </c>
      <c r="E71" s="601">
        <f t="shared" ref="E71:K71" si="24">IFERROR(E69*(1-E70),0)</f>
        <v>0</v>
      </c>
      <c r="F71" s="601">
        <f t="shared" si="24"/>
        <v>0</v>
      </c>
      <c r="G71" s="601">
        <f t="shared" si="24"/>
        <v>0</v>
      </c>
      <c r="H71" s="601">
        <f t="shared" si="24"/>
        <v>0</v>
      </c>
      <c r="I71" s="601">
        <f t="shared" si="24"/>
        <v>0</v>
      </c>
      <c r="J71" s="601">
        <f t="shared" si="24"/>
        <v>0</v>
      </c>
      <c r="K71" s="601">
        <f t="shared" si="24"/>
        <v>0</v>
      </c>
      <c r="L71" s="659">
        <f>SUM(D71:INDEX(D71:K71,0,MATCH('RFPR cover'!$C$7,$D$6:$K$6,0)))</f>
        <v>0</v>
      </c>
      <c r="M71" s="660">
        <f>SUM(D71:K71)</f>
        <v>0</v>
      </c>
    </row>
    <row r="72" spans="1:14" s="2" customFormat="1">
      <c r="A72" s="159"/>
      <c r="B72" s="49"/>
      <c r="C72" s="155"/>
      <c r="D72" s="155"/>
      <c r="E72" s="155"/>
      <c r="F72" s="155"/>
      <c r="G72" s="155"/>
      <c r="H72" s="155"/>
      <c r="I72" s="155"/>
      <c r="J72" s="155"/>
      <c r="K72" s="155"/>
      <c r="L72" s="155"/>
      <c r="M72" s="155"/>
    </row>
    <row r="73" spans="1:14" s="2" customFormat="1">
      <c r="A73" s="159" t="s">
        <v>461</v>
      </c>
      <c r="B73" s="170" t="str">
        <f>INDEX($B$11:$B$17,MATCH($A73,$A$11:$A$17,0),0)&amp;""</f>
        <v/>
      </c>
      <c r="C73" s="154" t="str">
        <f>'RFPR cover'!$C$14</f>
        <v>£m 09/10</v>
      </c>
      <c r="D73" s="775">
        <f>INDEX($D$11:$K$17,MATCH($A73,$A$11:$A$17,0),0)</f>
        <v>0</v>
      </c>
      <c r="E73" s="775">
        <f t="shared" ref="E73:K73" si="25">INDEX($D$11:$K$17,MATCH($A73,$A$11:$A$17,0),0)</f>
        <v>0</v>
      </c>
      <c r="F73" s="775">
        <f t="shared" si="25"/>
        <v>0</v>
      </c>
      <c r="G73" s="775">
        <f t="shared" si="25"/>
        <v>0</v>
      </c>
      <c r="H73" s="775">
        <f t="shared" si="25"/>
        <v>0</v>
      </c>
      <c r="I73" s="775">
        <f t="shared" si="25"/>
        <v>0</v>
      </c>
      <c r="J73" s="775">
        <f t="shared" si="25"/>
        <v>0</v>
      </c>
      <c r="K73" s="775">
        <f t="shared" si="25"/>
        <v>0</v>
      </c>
      <c r="L73" s="661">
        <f>SUM(D73:INDEX(D73:K73,0,MATCH('RFPR cover'!$C$7,$D$6:$K$6,0)))</f>
        <v>0</v>
      </c>
      <c r="M73" s="662">
        <f>SUM(D73:K73)</f>
        <v>0</v>
      </c>
    </row>
    <row r="74" spans="1:14" s="2" customFormat="1">
      <c r="A74" s="159"/>
      <c r="B74" s="33" t="s">
        <v>197</v>
      </c>
      <c r="C74" s="291" t="s">
        <v>237</v>
      </c>
      <c r="D74" s="878" t="str">
        <f>IF($C74=$B$33,$B$33,INDEX(Data!$G$14:$G$30,MATCH('R5 - Output Incentives'!D$6+RIGHT('R5 - Output Incentives'!$C74,2),Data!$C$14:$C$30,0),0))</f>
        <v>-</v>
      </c>
      <c r="E74" s="879" t="str">
        <f>IF($C74=$B$33,$B$33,INDEX(Data!$G$14:$G$30,MATCH('R5 - Output Incentives'!E$6+RIGHT('R5 - Output Incentives'!$C74,2),Data!$C$14:$C$30,0),0))</f>
        <v>-</v>
      </c>
      <c r="F74" s="879" t="str">
        <f>IF($C74=$B$33,$B$33,INDEX(Data!$G$14:$G$30,MATCH('R5 - Output Incentives'!F$6+RIGHT('R5 - Output Incentives'!$C74,2),Data!$C$14:$C$30,0),0))</f>
        <v>-</v>
      </c>
      <c r="G74" s="879" t="str">
        <f>IF($C74=$B$33,$B$33,INDEX(Data!$G$14:$G$30,MATCH('R5 - Output Incentives'!G$6+RIGHT('R5 - Output Incentives'!$C74,2),Data!$C$14:$C$30,0),0))</f>
        <v>-</v>
      </c>
      <c r="H74" s="879" t="str">
        <f>IF($C74=$B$33,$B$33,INDEX(Data!$G$14:$G$30,MATCH('R5 - Output Incentives'!H$6+RIGHT('R5 - Output Incentives'!$C74,2),Data!$C$14:$C$30,0),0))</f>
        <v>-</v>
      </c>
      <c r="I74" s="879" t="str">
        <f>IF($C74=$B$33,$B$33,INDEX(Data!$G$14:$G$30,MATCH('R5 - Output Incentives'!I$6+RIGHT('R5 - Output Incentives'!$C74,2),Data!$C$14:$C$30,0),0))</f>
        <v>-</v>
      </c>
      <c r="J74" s="879" t="str">
        <f>IF($C74=$B$33,$B$33,INDEX(Data!$G$14:$G$30,MATCH('R5 - Output Incentives'!J$6+RIGHT('R5 - Output Incentives'!$C74,2),Data!$C$14:$C$30,0),0))</f>
        <v>-</v>
      </c>
      <c r="K74" s="880" t="str">
        <f>IF($C74=$B$33,$B$33,INDEX(Data!$G$14:$G$30,MATCH('R5 - Output Incentives'!K$6+RIGHT('R5 - Output Incentives'!$C74,2),Data!$C$14:$C$30,0),0))</f>
        <v>-</v>
      </c>
      <c r="L74" s="777"/>
      <c r="M74" s="778"/>
    </row>
    <row r="75" spans="1:14" s="2" customFormat="1">
      <c r="A75" s="159"/>
      <c r="B75" s="33" t="s">
        <v>206</v>
      </c>
      <c r="C75" s="154"/>
      <c r="D75" s="600">
        <f>IFERROR(D73*(1-D74),0)</f>
        <v>0</v>
      </c>
      <c r="E75" s="601">
        <f t="shared" ref="E75:K75" si="26">IFERROR(E73*(1-E74),0)</f>
        <v>0</v>
      </c>
      <c r="F75" s="601">
        <f t="shared" si="26"/>
        <v>0</v>
      </c>
      <c r="G75" s="601">
        <f t="shared" si="26"/>
        <v>0</v>
      </c>
      <c r="H75" s="601">
        <f t="shared" si="26"/>
        <v>0</v>
      </c>
      <c r="I75" s="601">
        <f t="shared" si="26"/>
        <v>0</v>
      </c>
      <c r="J75" s="601">
        <f t="shared" si="26"/>
        <v>0</v>
      </c>
      <c r="K75" s="601">
        <f t="shared" si="26"/>
        <v>0</v>
      </c>
      <c r="L75" s="659">
        <f>SUM(D75:INDEX(D75:K75,0,MATCH('RFPR cover'!$C$7,$D$6:$K$6,0)))</f>
        <v>0</v>
      </c>
      <c r="M75" s="660">
        <f>SUM(D75:K75)</f>
        <v>0</v>
      </c>
    </row>
    <row r="76" spans="1:14" s="524" customFormat="1" ht="14.25" customHeight="1">
      <c r="A76" s="523"/>
      <c r="C76" s="525"/>
      <c r="D76" s="526"/>
      <c r="E76" s="526"/>
      <c r="F76" s="526"/>
      <c r="G76" s="526"/>
      <c r="H76" s="526"/>
      <c r="I76" s="526"/>
      <c r="J76" s="526"/>
      <c r="K76" s="526"/>
      <c r="L76" s="527"/>
      <c r="M76" s="527"/>
    </row>
    <row r="77" spans="1:14" s="2" customFormat="1">
      <c r="B77" s="115" t="s">
        <v>378</v>
      </c>
      <c r="C77" s="149"/>
      <c r="D77" s="132"/>
      <c r="E77" s="132"/>
      <c r="F77" s="132"/>
      <c r="G77" s="132"/>
      <c r="H77" s="132"/>
      <c r="I77" s="132"/>
      <c r="J77" s="132"/>
      <c r="K77" s="132"/>
      <c r="L77" s="79"/>
      <c r="M77" s="79"/>
      <c r="N77" s="79"/>
    </row>
    <row r="78" spans="1:14" s="2" customFormat="1">
      <c r="B78" s="357" t="s">
        <v>377</v>
      </c>
      <c r="C78" s="288"/>
      <c r="D78" s="289"/>
      <c r="E78" s="289"/>
      <c r="F78" s="289"/>
      <c r="G78" s="289"/>
      <c r="H78" s="289"/>
      <c r="I78" s="289"/>
      <c r="J78" s="289"/>
      <c r="K78" s="289"/>
      <c r="L78" s="290"/>
      <c r="M78" s="290"/>
      <c r="N78" s="290"/>
    </row>
    <row r="79" spans="1:14" s="2" customFormat="1">
      <c r="B79" s="357" t="s">
        <v>379</v>
      </c>
      <c r="C79" s="288"/>
      <c r="D79" s="289"/>
      <c r="E79" s="289"/>
      <c r="F79" s="289"/>
      <c r="G79" s="289"/>
      <c r="H79" s="289"/>
      <c r="I79" s="289"/>
      <c r="J79" s="289"/>
      <c r="K79" s="289"/>
      <c r="L79" s="290"/>
      <c r="M79" s="290"/>
      <c r="N79" s="290"/>
    </row>
    <row r="80" spans="1:14" s="524" customFormat="1">
      <c r="B80" s="529"/>
      <c r="C80" s="530"/>
      <c r="D80" s="531"/>
      <c r="E80" s="531"/>
      <c r="F80" s="531"/>
      <c r="G80" s="531"/>
      <c r="H80" s="531"/>
      <c r="I80" s="531"/>
      <c r="J80" s="531"/>
      <c r="K80" s="531"/>
    </row>
    <row r="81" spans="1:12" s="2" customFormat="1">
      <c r="B81" s="12"/>
      <c r="C81" s="532" t="s">
        <v>380</v>
      </c>
      <c r="D81" s="535" t="str">
        <f t="shared" ref="D81:K81" si="27">IF($C50=$B$33,D$6,IF(D$6-RIGHT($C50,1)&lt;$D$6,"Pre-RIIO",D$6-RIGHT($C50,1)))</f>
        <v>Pre-RIIO</v>
      </c>
      <c r="E81" s="536" t="str">
        <f t="shared" si="27"/>
        <v>Pre-RIIO</v>
      </c>
      <c r="F81" s="536">
        <f t="shared" si="27"/>
        <v>2014</v>
      </c>
      <c r="G81" s="536">
        <f t="shared" si="27"/>
        <v>2015</v>
      </c>
      <c r="H81" s="536">
        <f t="shared" si="27"/>
        <v>2016</v>
      </c>
      <c r="I81" s="536">
        <f t="shared" si="27"/>
        <v>2017</v>
      </c>
      <c r="J81" s="536">
        <f t="shared" si="27"/>
        <v>2018</v>
      </c>
      <c r="K81" s="537">
        <f t="shared" si="27"/>
        <v>2019</v>
      </c>
    </row>
    <row r="82" spans="1:12" s="2" customFormat="1">
      <c r="A82" s="3" t="str">
        <f>A11</f>
        <v>a</v>
      </c>
      <c r="B82" s="128" t="str">
        <f>B11&amp;""</f>
        <v>Network Reliability Incentive</v>
      </c>
      <c r="C82" s="135" t="s">
        <v>125</v>
      </c>
      <c r="D82" s="628">
        <v>0.50197499999999995</v>
      </c>
      <c r="E82" s="629">
        <v>0</v>
      </c>
      <c r="F82" s="629">
        <v>2.5557655501191276</v>
      </c>
      <c r="G82" s="629">
        <v>3.0355213845918985</v>
      </c>
      <c r="H82" s="607">
        <v>2.9305489936413602</v>
      </c>
      <c r="I82" s="607">
        <v>3.0755399240786461</v>
      </c>
      <c r="J82" s="607">
        <v>3.2375975044688601</v>
      </c>
      <c r="K82" s="607">
        <v>2.7412730983400637</v>
      </c>
    </row>
    <row r="83" spans="1:12" s="2" customFormat="1">
      <c r="A83" s="3"/>
      <c r="B83" s="128"/>
      <c r="C83" s="135"/>
      <c r="D83" s="135"/>
      <c r="E83" s="135"/>
      <c r="F83" s="135"/>
      <c r="G83" s="135"/>
      <c r="H83" s="135"/>
      <c r="I83" s="135"/>
      <c r="J83" s="135"/>
      <c r="K83" s="135"/>
      <c r="L83" s="135"/>
    </row>
    <row r="84" spans="1:12" s="2" customFormat="1">
      <c r="A84" s="3"/>
      <c r="B84" s="128"/>
      <c r="C84" s="532" t="s">
        <v>380</v>
      </c>
      <c r="D84" s="535" t="str">
        <f t="shared" ref="D84:K84" si="28">IF($C54=$B$33,D$6,IF(D$6-RIGHT($C54,1)&lt;$D$6,"Pre-RIIO",D$6-RIGHT($C54,1)))</f>
        <v>Pre-RIIO</v>
      </c>
      <c r="E84" s="536" t="str">
        <f t="shared" si="28"/>
        <v>Pre-RIIO</v>
      </c>
      <c r="F84" s="536">
        <f t="shared" si="28"/>
        <v>2014</v>
      </c>
      <c r="G84" s="536">
        <f t="shared" si="28"/>
        <v>2015</v>
      </c>
      <c r="H84" s="536">
        <f t="shared" si="28"/>
        <v>2016</v>
      </c>
      <c r="I84" s="536">
        <f t="shared" si="28"/>
        <v>2017</v>
      </c>
      <c r="J84" s="536">
        <f t="shared" si="28"/>
        <v>2018</v>
      </c>
      <c r="K84" s="537">
        <f t="shared" si="28"/>
        <v>2019</v>
      </c>
    </row>
    <row r="85" spans="1:12" s="2" customFormat="1">
      <c r="A85" s="3" t="str">
        <f>A12</f>
        <v>b</v>
      </c>
      <c r="B85" s="128" t="str">
        <f>B12&amp;""</f>
        <v>Stakeholder Satisfaction Output</v>
      </c>
      <c r="C85" s="135" t="s">
        <v>125</v>
      </c>
      <c r="D85" s="628">
        <v>0</v>
      </c>
      <c r="E85" s="629">
        <v>0</v>
      </c>
      <c r="F85" s="629">
        <v>0.40640988029238712</v>
      </c>
      <c r="G85" s="629">
        <v>0.65200819278738997</v>
      </c>
      <c r="H85" s="607">
        <v>0.92008286977714449</v>
      </c>
      <c r="I85" s="607">
        <v>1.9841351747534413</v>
      </c>
      <c r="J85" s="607">
        <v>2.7837286454243646</v>
      </c>
      <c r="K85" s="607">
        <v>2.3265679144323079</v>
      </c>
    </row>
    <row r="86" spans="1:12" s="2" customFormat="1">
      <c r="A86" s="3"/>
      <c r="B86" s="128"/>
      <c r="C86" s="135"/>
      <c r="D86" s="135"/>
      <c r="E86" s="135"/>
      <c r="F86" s="135"/>
      <c r="G86" s="135"/>
      <c r="H86" s="135"/>
      <c r="I86" s="135"/>
      <c r="J86" s="135"/>
      <c r="K86" s="135"/>
      <c r="L86" s="135"/>
    </row>
    <row r="87" spans="1:12" s="2" customFormat="1">
      <c r="A87" s="3"/>
      <c r="B87" s="128"/>
      <c r="C87" s="532" t="s">
        <v>380</v>
      </c>
      <c r="D87" s="535" t="str">
        <f t="shared" ref="D87:K87" si="29">IF($C58=$B$33,D$6,IF(D$6-RIGHT($C58,1)&lt;$D$6,"Pre-RIIO",D$6-RIGHT($C58,1)))</f>
        <v>Pre-RIIO</v>
      </c>
      <c r="E87" s="536" t="str">
        <f t="shared" si="29"/>
        <v>Pre-RIIO</v>
      </c>
      <c r="F87" s="536">
        <f t="shared" si="29"/>
        <v>2014</v>
      </c>
      <c r="G87" s="536">
        <f t="shared" si="29"/>
        <v>2015</v>
      </c>
      <c r="H87" s="536">
        <f t="shared" si="29"/>
        <v>2016</v>
      </c>
      <c r="I87" s="536">
        <f t="shared" si="29"/>
        <v>2017</v>
      </c>
      <c r="J87" s="536">
        <f t="shared" si="29"/>
        <v>2018</v>
      </c>
      <c r="K87" s="537">
        <f t="shared" si="29"/>
        <v>2019</v>
      </c>
    </row>
    <row r="88" spans="1:12" s="2" customFormat="1">
      <c r="A88" s="3" t="str">
        <f>A13</f>
        <v>c</v>
      </c>
      <c r="B88" s="128" t="str">
        <f>B13&amp;""</f>
        <v>SF6 Emissions</v>
      </c>
      <c r="C88" s="135" t="s">
        <v>125</v>
      </c>
      <c r="D88" s="628">
        <v>0</v>
      </c>
      <c r="E88" s="629">
        <v>0</v>
      </c>
      <c r="F88" s="629">
        <v>-0.14541890076048847</v>
      </c>
      <c r="G88" s="629">
        <v>-3.6728527418933295E-2</v>
      </c>
      <c r="H88" s="607">
        <v>4.969120158457864E-2</v>
      </c>
      <c r="I88" s="607">
        <v>0.23221740642612149</v>
      </c>
      <c r="J88" s="607">
        <v>0.25091732503675435</v>
      </c>
      <c r="K88" s="607">
        <v>1.3564427001706861E-2</v>
      </c>
    </row>
    <row r="89" spans="1:12" s="2" customFormat="1">
      <c r="A89" s="3"/>
      <c r="B89" s="128"/>
      <c r="C89" s="135"/>
      <c r="D89" s="135"/>
      <c r="E89" s="135"/>
      <c r="F89" s="135"/>
      <c r="G89" s="135"/>
      <c r="H89" s="135"/>
      <c r="I89" s="135"/>
      <c r="J89" s="135"/>
      <c r="K89" s="135"/>
      <c r="L89" s="135"/>
    </row>
    <row r="90" spans="1:12" s="2" customFormat="1">
      <c r="A90" s="3"/>
      <c r="B90" s="128"/>
      <c r="C90" s="532" t="s">
        <v>380</v>
      </c>
      <c r="D90" s="535" t="str">
        <f t="shared" ref="D90:K90" si="30">IF($C62=$B$33,D$6,IF(D$6-RIGHT($C62,1)&lt;$D$6,"Pre-RIIO",D$6-RIGHT($C62,1)))</f>
        <v>Pre-RIIO</v>
      </c>
      <c r="E90" s="536" t="str">
        <f t="shared" si="30"/>
        <v>Pre-RIIO</v>
      </c>
      <c r="F90" s="536">
        <f t="shared" si="30"/>
        <v>2014</v>
      </c>
      <c r="G90" s="536">
        <f t="shared" si="30"/>
        <v>2015</v>
      </c>
      <c r="H90" s="536">
        <f t="shared" si="30"/>
        <v>2016</v>
      </c>
      <c r="I90" s="536">
        <f t="shared" si="30"/>
        <v>2017</v>
      </c>
      <c r="J90" s="536">
        <f t="shared" si="30"/>
        <v>2018</v>
      </c>
      <c r="K90" s="537">
        <f t="shared" si="30"/>
        <v>2019</v>
      </c>
    </row>
    <row r="91" spans="1:12" s="2" customFormat="1">
      <c r="A91" s="3" t="str">
        <f>A14</f>
        <v>d</v>
      </c>
      <c r="B91" s="128" t="str">
        <f>B14&amp;""</f>
        <v>Environmental Discretionary Reward</v>
      </c>
      <c r="C91" s="135" t="s">
        <v>125</v>
      </c>
      <c r="D91" s="628">
        <v>0</v>
      </c>
      <c r="E91" s="629">
        <v>0</v>
      </c>
      <c r="F91" s="629">
        <v>0</v>
      </c>
      <c r="G91" s="629">
        <v>0</v>
      </c>
      <c r="H91" s="607">
        <v>4.0336679999999996</v>
      </c>
      <c r="I91" s="607">
        <v>4.0276476000000008</v>
      </c>
      <c r="J91" s="607">
        <v>0</v>
      </c>
      <c r="K91" s="607">
        <v>1.0142502499999999</v>
      </c>
    </row>
    <row r="92" spans="1:12" s="2" customFormat="1">
      <c r="A92" s="3"/>
      <c r="B92" s="128"/>
      <c r="C92" s="135"/>
      <c r="D92" s="135"/>
      <c r="E92" s="135"/>
      <c r="F92" s="135"/>
      <c r="G92" s="135"/>
      <c r="H92" s="135"/>
      <c r="I92" s="135"/>
      <c r="J92" s="135"/>
      <c r="K92" s="135"/>
      <c r="L92" s="135"/>
    </row>
    <row r="93" spans="1:12" s="2" customFormat="1">
      <c r="A93" s="3"/>
      <c r="B93" s="128"/>
      <c r="C93" s="532" t="s">
        <v>380</v>
      </c>
      <c r="D93" s="535" t="str">
        <f>IF($C66=$B$33,D$6,IF(D$6-RIGHT($C66,1)&lt;$D$6,"Pre-RIIO",D$6-RIGHT($C66,1)))</f>
        <v>Pre-RIIO</v>
      </c>
      <c r="E93" s="536" t="str">
        <f t="shared" ref="E93:K93" si="31">IF($C66=$B$33,E$6,IF(E$6-RIGHT($C66,1)&lt;$D$6,"Pre-RIIO",E$6-RIGHT($C66,1)))</f>
        <v>Pre-RIIO</v>
      </c>
      <c r="F93" s="536">
        <f t="shared" si="31"/>
        <v>2014</v>
      </c>
      <c r="G93" s="536">
        <f t="shared" si="31"/>
        <v>2015</v>
      </c>
      <c r="H93" s="536">
        <f t="shared" si="31"/>
        <v>2016</v>
      </c>
      <c r="I93" s="536">
        <f t="shared" si="31"/>
        <v>2017</v>
      </c>
      <c r="J93" s="536">
        <f t="shared" si="31"/>
        <v>2018</v>
      </c>
      <c r="K93" s="537">
        <f t="shared" si="31"/>
        <v>2019</v>
      </c>
    </row>
    <row r="94" spans="1:12" s="2" customFormat="1">
      <c r="A94" s="3" t="str">
        <f>A15</f>
        <v>e</v>
      </c>
      <c r="B94" s="128" t="str">
        <f>B15&amp;""</f>
        <v xml:space="preserve">Performance re offers of timely connection </v>
      </c>
      <c r="C94" s="135" t="s">
        <v>125</v>
      </c>
      <c r="D94" s="628">
        <v>0</v>
      </c>
      <c r="E94" s="629">
        <v>0</v>
      </c>
      <c r="F94" s="629">
        <v>-5.5308992420148931E-2</v>
      </c>
      <c r="G94" s="629">
        <v>-3.7310481315315953E-2</v>
      </c>
      <c r="H94" s="607">
        <v>0</v>
      </c>
      <c r="I94" s="607">
        <v>0</v>
      </c>
      <c r="J94" s="607">
        <v>-2.7457666044276213E-2</v>
      </c>
      <c r="K94" s="607">
        <v>0</v>
      </c>
    </row>
    <row r="95" spans="1:12" s="2" customFormat="1">
      <c r="A95" s="3"/>
      <c r="B95" s="128"/>
      <c r="C95" s="135"/>
      <c r="D95" s="135"/>
      <c r="E95" s="135"/>
      <c r="F95" s="135"/>
      <c r="G95" s="135"/>
      <c r="H95" s="135"/>
      <c r="I95" s="135"/>
      <c r="J95" s="135"/>
      <c r="K95" s="135"/>
      <c r="L95" s="135"/>
    </row>
    <row r="96" spans="1:12" s="2" customFormat="1">
      <c r="A96" s="3"/>
      <c r="B96" s="128"/>
      <c r="C96" s="532" t="s">
        <v>380</v>
      </c>
      <c r="D96" s="535">
        <f>IF($C70=$B$33,D$6,IF(D$6-RIGHT($C70,1)&lt;$D$6,"Pre-RIIO",D$6-RIGHT($C70,1)))</f>
        <v>2014</v>
      </c>
      <c r="E96" s="535">
        <f t="shared" ref="E96:K96" si="32">IF($C70=$B$33,E$6,IF(E$6-RIGHT($C70,1)&lt;$D$6,"Pre-RIIO",E$6-RIGHT($C70,1)))</f>
        <v>2015</v>
      </c>
      <c r="F96" s="535">
        <f t="shared" si="32"/>
        <v>2016</v>
      </c>
      <c r="G96" s="535">
        <f t="shared" si="32"/>
        <v>2017</v>
      </c>
      <c r="H96" s="535">
        <f t="shared" si="32"/>
        <v>2018</v>
      </c>
      <c r="I96" s="535">
        <f t="shared" si="32"/>
        <v>2019</v>
      </c>
      <c r="J96" s="535">
        <f t="shared" si="32"/>
        <v>2020</v>
      </c>
      <c r="K96" s="535">
        <f t="shared" si="32"/>
        <v>2021</v>
      </c>
    </row>
    <row r="97" spans="1:13" s="2" customFormat="1">
      <c r="A97" s="3" t="str">
        <f>A16</f>
        <v>f</v>
      </c>
      <c r="B97" s="128" t="str">
        <f>B16&amp;""</f>
        <v/>
      </c>
      <c r="C97" s="135" t="s">
        <v>125</v>
      </c>
      <c r="D97" s="628">
        <v>0</v>
      </c>
      <c r="E97" s="629">
        <v>0</v>
      </c>
      <c r="F97" s="629">
        <v>0</v>
      </c>
      <c r="G97" s="629">
        <v>0</v>
      </c>
      <c r="H97" s="607">
        <v>0</v>
      </c>
      <c r="I97" s="607">
        <v>0</v>
      </c>
      <c r="J97" s="607">
        <v>0</v>
      </c>
      <c r="K97" s="607">
        <v>0</v>
      </c>
    </row>
    <row r="98" spans="1:13" s="2" customFormat="1">
      <c r="A98" s="3"/>
      <c r="B98" s="128"/>
      <c r="C98" s="135"/>
      <c r="D98" s="135"/>
      <c r="E98" s="135"/>
      <c r="F98" s="135"/>
      <c r="G98" s="135"/>
      <c r="H98" s="135"/>
      <c r="I98" s="135"/>
      <c r="J98" s="135"/>
      <c r="K98" s="135"/>
      <c r="L98" s="135"/>
    </row>
    <row r="99" spans="1:13" s="2" customFormat="1">
      <c r="A99" s="3"/>
      <c r="B99" s="128"/>
      <c r="C99" s="532" t="s">
        <v>380</v>
      </c>
      <c r="D99" s="535">
        <f>IF($C74=$B$33,D$6,IF(D$6-RIGHT($C74,1)&lt;$D$6,"Pre-RIIO",D$6-RIGHT($C74,1)))</f>
        <v>2014</v>
      </c>
      <c r="E99" s="535">
        <f t="shared" ref="E99:K99" si="33">IF($C74=$B$33,E$6,IF(E$6-RIGHT($C74,1)&lt;$D$6,"Pre-RIIO",E$6-RIGHT($C74,1)))</f>
        <v>2015</v>
      </c>
      <c r="F99" s="535">
        <f t="shared" si="33"/>
        <v>2016</v>
      </c>
      <c r="G99" s="535">
        <f t="shared" si="33"/>
        <v>2017</v>
      </c>
      <c r="H99" s="535">
        <f t="shared" si="33"/>
        <v>2018</v>
      </c>
      <c r="I99" s="535">
        <f t="shared" si="33"/>
        <v>2019</v>
      </c>
      <c r="J99" s="535">
        <f t="shared" si="33"/>
        <v>2020</v>
      </c>
      <c r="K99" s="535">
        <f t="shared" si="33"/>
        <v>2021</v>
      </c>
    </row>
    <row r="100" spans="1:13" s="2" customFormat="1">
      <c r="A100" s="3" t="str">
        <f>A17</f>
        <v>g</v>
      </c>
      <c r="B100" s="128" t="str">
        <f>B17&amp;""</f>
        <v/>
      </c>
      <c r="C100" s="135" t="s">
        <v>125</v>
      </c>
      <c r="D100" s="628">
        <v>0</v>
      </c>
      <c r="E100" s="629">
        <v>0</v>
      </c>
      <c r="F100" s="629">
        <v>0</v>
      </c>
      <c r="G100" s="629">
        <v>0</v>
      </c>
      <c r="H100" s="607">
        <v>0</v>
      </c>
      <c r="I100" s="607">
        <v>0</v>
      </c>
      <c r="J100" s="607">
        <v>0</v>
      </c>
      <c r="K100" s="607">
        <v>0</v>
      </c>
    </row>
    <row r="101" spans="1:13" s="2" customFormat="1">
      <c r="A101" s="3"/>
      <c r="B101" s="128"/>
      <c r="C101" s="135"/>
      <c r="D101" s="135"/>
      <c r="E101" s="135"/>
      <c r="F101" s="135"/>
      <c r="G101" s="135"/>
      <c r="H101" s="135"/>
      <c r="I101" s="135"/>
      <c r="J101" s="135"/>
      <c r="K101" s="135"/>
      <c r="L101" s="135"/>
      <c r="M101" s="135"/>
    </row>
    <row r="102" spans="1:13" s="2" customFormat="1">
      <c r="B102" s="12" t="s">
        <v>154</v>
      </c>
      <c r="C102" s="156" t="s">
        <v>125</v>
      </c>
      <c r="D102" s="600">
        <f>SUM(D82,D85,D88,D91,D94,D97,D100)</f>
        <v>0.50197499999999995</v>
      </c>
      <c r="E102" s="600">
        <f t="shared" ref="E102:K102" si="34">SUM(E82,E85,E88,E91,E94,E97,E100)</f>
        <v>0</v>
      </c>
      <c r="F102" s="600">
        <f t="shared" si="34"/>
        <v>2.7614475372308771</v>
      </c>
      <c r="G102" s="600">
        <f t="shared" si="34"/>
        <v>3.6134905686450391</v>
      </c>
      <c r="H102" s="601">
        <f>SUM(H82,H85,H88,H91,H94,H97,H100)</f>
        <v>7.9339910650030827</v>
      </c>
      <c r="I102" s="601">
        <f t="shared" si="34"/>
        <v>9.3195401052582092</v>
      </c>
      <c r="J102" s="601">
        <f t="shared" si="34"/>
        <v>6.2447858088857036</v>
      </c>
      <c r="K102" s="601">
        <f t="shared" si="34"/>
        <v>6.0956556897740777</v>
      </c>
    </row>
    <row r="103" spans="1:13" s="2" customFormat="1">
      <c r="C103" s="135"/>
    </row>
    <row r="104" spans="1:13" s="2" customFormat="1">
      <c r="A104" s="33"/>
      <c r="B104" s="12" t="s">
        <v>355</v>
      </c>
      <c r="C104" s="155"/>
      <c r="D104" s="155"/>
      <c r="E104" s="155"/>
      <c r="F104" s="155"/>
      <c r="G104" s="155"/>
      <c r="H104" s="155"/>
      <c r="I104" s="155"/>
      <c r="J104" s="155"/>
      <c r="K104" s="155"/>
      <c r="L104" s="155"/>
      <c r="M104" s="155"/>
    </row>
    <row r="105" spans="1:13" s="2" customFormat="1">
      <c r="A105" s="268" t="str">
        <f>A82</f>
        <v>a</v>
      </c>
      <c r="B105" s="993" t="s">
        <v>558</v>
      </c>
      <c r="C105" s="993"/>
      <c r="D105" s="993"/>
      <c r="E105" s="993"/>
      <c r="F105" s="993"/>
      <c r="G105" s="993"/>
      <c r="H105" s="993"/>
      <c r="I105" s="993"/>
      <c r="J105" s="993"/>
      <c r="K105" s="993"/>
      <c r="L105" s="993"/>
      <c r="M105" s="993"/>
    </row>
    <row r="106" spans="1:13" s="2" customFormat="1">
      <c r="A106" s="268" t="str">
        <f>A85</f>
        <v>b</v>
      </c>
      <c r="B106" s="993" t="s">
        <v>558</v>
      </c>
      <c r="C106" s="993"/>
      <c r="D106" s="993"/>
      <c r="E106" s="993"/>
      <c r="F106" s="993"/>
      <c r="G106" s="993"/>
      <c r="H106" s="993"/>
      <c r="I106" s="993"/>
      <c r="J106" s="993"/>
      <c r="K106" s="993"/>
      <c r="L106" s="993"/>
      <c r="M106" s="993"/>
    </row>
    <row r="107" spans="1:13" s="2" customFormat="1">
      <c r="A107" s="268" t="str">
        <f>A88</f>
        <v>c</v>
      </c>
      <c r="B107" s="993" t="s">
        <v>558</v>
      </c>
      <c r="C107" s="993"/>
      <c r="D107" s="993"/>
      <c r="E107" s="993"/>
      <c r="F107" s="993"/>
      <c r="G107" s="993"/>
      <c r="H107" s="993"/>
      <c r="I107" s="993"/>
      <c r="J107" s="993"/>
      <c r="K107" s="993"/>
      <c r="L107" s="993"/>
      <c r="M107" s="993"/>
    </row>
    <row r="108" spans="1:13" s="2" customFormat="1">
      <c r="A108" s="268" t="str">
        <f>A91</f>
        <v>d</v>
      </c>
      <c r="B108" s="993" t="s">
        <v>558</v>
      </c>
      <c r="C108" s="993"/>
      <c r="D108" s="993"/>
      <c r="E108" s="993"/>
      <c r="F108" s="993"/>
      <c r="G108" s="993"/>
      <c r="H108" s="993"/>
      <c r="I108" s="993"/>
      <c r="J108" s="993"/>
      <c r="K108" s="993"/>
      <c r="L108" s="993"/>
      <c r="M108" s="993"/>
    </row>
    <row r="109" spans="1:13" s="2" customFormat="1">
      <c r="A109" s="268" t="str">
        <f>A94</f>
        <v>e</v>
      </c>
      <c r="B109" s="993" t="s">
        <v>558</v>
      </c>
      <c r="C109" s="993"/>
      <c r="D109" s="993"/>
      <c r="E109" s="993"/>
      <c r="F109" s="993"/>
      <c r="G109" s="993"/>
      <c r="H109" s="993"/>
      <c r="I109" s="993"/>
      <c r="J109" s="993"/>
      <c r="K109" s="993"/>
      <c r="L109" s="993"/>
      <c r="M109" s="993"/>
    </row>
    <row r="110" spans="1:13" s="2" customFormat="1">
      <c r="A110" s="268" t="str">
        <f>A97</f>
        <v>f</v>
      </c>
      <c r="B110" s="993" t="s">
        <v>250</v>
      </c>
      <c r="C110" s="993"/>
      <c r="D110" s="993"/>
      <c r="E110" s="993"/>
      <c r="F110" s="993"/>
      <c r="G110" s="993"/>
      <c r="H110" s="993"/>
      <c r="I110" s="993"/>
      <c r="J110" s="993"/>
      <c r="K110" s="993"/>
      <c r="L110" s="993"/>
      <c r="M110" s="993"/>
    </row>
    <row r="111" spans="1:13" s="2" customFormat="1">
      <c r="A111" s="268" t="str">
        <f>A100</f>
        <v>g</v>
      </c>
      <c r="B111" s="993" t="s">
        <v>250</v>
      </c>
      <c r="C111" s="993"/>
      <c r="D111" s="993"/>
      <c r="E111" s="993"/>
      <c r="F111" s="993"/>
      <c r="G111" s="993"/>
      <c r="H111" s="993"/>
      <c r="I111" s="993"/>
      <c r="J111" s="993"/>
      <c r="K111" s="993"/>
      <c r="L111" s="993"/>
      <c r="M111" s="993"/>
    </row>
    <row r="112" spans="1:13" s="524" customFormat="1">
      <c r="A112" s="523"/>
      <c r="C112" s="525"/>
      <c r="D112" s="526"/>
      <c r="E112" s="526"/>
      <c r="F112" s="526"/>
      <c r="G112" s="526"/>
      <c r="H112" s="526"/>
      <c r="I112" s="526"/>
      <c r="J112" s="526"/>
      <c r="K112" s="526"/>
      <c r="L112" s="527"/>
      <c r="M112" s="527"/>
    </row>
    <row r="113" spans="1:14" s="524" customFormat="1">
      <c r="A113" s="523"/>
      <c r="C113" s="525"/>
      <c r="D113" s="525"/>
      <c r="E113" s="525"/>
      <c r="F113" s="525"/>
      <c r="G113" s="525"/>
      <c r="H113" s="525"/>
      <c r="I113" s="525"/>
      <c r="J113" s="525"/>
      <c r="K113" s="525"/>
      <c r="L113" s="525"/>
      <c r="M113" s="525"/>
    </row>
    <row r="114" spans="1:14" s="2" customFormat="1">
      <c r="A114" s="79"/>
      <c r="B114" s="79"/>
      <c r="C114" s="149"/>
      <c r="D114" s="79"/>
      <c r="E114" s="79"/>
      <c r="F114" s="79"/>
      <c r="G114" s="79"/>
      <c r="H114" s="79"/>
      <c r="I114" s="79"/>
      <c r="J114" s="79"/>
      <c r="K114" s="79"/>
      <c r="L114" s="79"/>
      <c r="M114" s="79"/>
      <c r="N114" s="79"/>
    </row>
  </sheetData>
  <mergeCells count="14">
    <mergeCell ref="B110:M110"/>
    <mergeCell ref="B111:M111"/>
    <mergeCell ref="B21:M21"/>
    <mergeCell ref="B22:M22"/>
    <mergeCell ref="B23:M23"/>
    <mergeCell ref="B24:M24"/>
    <mergeCell ref="B25:M25"/>
    <mergeCell ref="B105:M105"/>
    <mergeCell ref="B106:M106"/>
    <mergeCell ref="B107:M107"/>
    <mergeCell ref="B108:M108"/>
    <mergeCell ref="B109:M109"/>
    <mergeCell ref="B26:M26"/>
    <mergeCell ref="B27:M27"/>
  </mergeCells>
  <conditionalFormatting sqref="D6:K6">
    <cfRule type="expression" dxfId="45" priority="31">
      <formula>AND(D$5="Actuals",E$5="Forecast")</formula>
    </cfRule>
  </conditionalFormatting>
  <conditionalFormatting sqref="D5:K5">
    <cfRule type="expression" dxfId="44"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xr:uid="{00000000-0002-0000-0800-000000000000}">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9.625" customWidth="1"/>
    <col min="3" max="3" width="14.125" style="135" customWidth="1"/>
    <col min="4" max="11" width="11.125" customWidth="1"/>
    <col min="12" max="12" width="5" customWidth="1"/>
  </cols>
  <sheetData>
    <row r="1" spans="1:12" s="29" customFormat="1" ht="20.25">
      <c r="A1" s="913" t="s">
        <v>97</v>
      </c>
      <c r="B1" s="909"/>
      <c r="C1" s="276"/>
      <c r="D1" s="255"/>
      <c r="E1" s="255"/>
      <c r="F1" s="255"/>
      <c r="G1" s="255"/>
      <c r="H1" s="255"/>
      <c r="I1" s="256"/>
      <c r="J1" s="256"/>
      <c r="K1" s="257"/>
      <c r="L1" s="258"/>
    </row>
    <row r="2" spans="1:12" s="29" customFormat="1" ht="20.25">
      <c r="A2" s="902" t="str">
        <f>'RFPR cover'!C5</f>
        <v>SPT</v>
      </c>
      <c r="B2" s="895"/>
      <c r="C2" s="133"/>
      <c r="D2" s="27"/>
      <c r="E2" s="27"/>
      <c r="F2" s="27"/>
      <c r="G2" s="27"/>
      <c r="H2" s="27"/>
      <c r="I2" s="25"/>
      <c r="J2" s="25"/>
      <c r="K2" s="25"/>
      <c r="L2" s="122"/>
    </row>
    <row r="3" spans="1:12" s="35" customFormat="1" ht="23.25">
      <c r="A3" s="905">
        <f>'RFPR cover'!C7</f>
        <v>2020</v>
      </c>
      <c r="B3" s="911" t="str">
        <f>'R1 - RoRE'!B3</f>
        <v/>
      </c>
      <c r="C3" s="278"/>
      <c r="D3" s="277"/>
      <c r="E3" s="277"/>
      <c r="F3" s="277"/>
      <c r="G3" s="277"/>
      <c r="H3" s="277"/>
      <c r="I3" s="254"/>
      <c r="J3" s="254"/>
      <c r="K3" s="254"/>
      <c r="L3" s="260"/>
    </row>
    <row r="4" spans="1:12" s="2" customFormat="1" ht="12.75" customHeight="1">
      <c r="C4" s="135"/>
    </row>
    <row r="5" spans="1:12" s="2" customFormat="1">
      <c r="B5" s="3"/>
      <c r="C5" s="135"/>
      <c r="D5" s="379" t="str">
        <f>IF(D6&lt;='RFPR cover'!$C$7,"Actuals","Forecast")</f>
        <v>Actuals</v>
      </c>
      <c r="E5" s="380" t="str">
        <f>IF(E6&lt;='RFPR cover'!$C$7,"Actuals","Forecast")</f>
        <v>Actuals</v>
      </c>
      <c r="F5" s="380" t="str">
        <f>IF(F6&lt;='RFPR cover'!$C$7,"Actuals","Forecast")</f>
        <v>Actuals</v>
      </c>
      <c r="G5" s="380" t="str">
        <f>IF(G6&lt;='RFPR cover'!$C$7,"Actuals","Forecast")</f>
        <v>Actuals</v>
      </c>
      <c r="H5" s="380" t="str">
        <f>IF(H6&lt;='RFPR cover'!$C$7,"Actuals","Forecast")</f>
        <v>Actuals</v>
      </c>
      <c r="I5" s="380" t="str">
        <f>IF(I6&lt;='RFPR cover'!$C$7,"Actuals","Forecast")</f>
        <v>Actuals</v>
      </c>
      <c r="J5" s="380" t="str">
        <f>IF(J6&lt;='RFPR cover'!$C$7,"Actuals","Forecast")</f>
        <v>Actuals</v>
      </c>
      <c r="K5" s="381" t="str">
        <f>IF(K6&lt;='RFPR cover'!$C$7,"Actuals","Forecast")</f>
        <v>Forecast</v>
      </c>
    </row>
    <row r="6" spans="1:12" s="2" customFormat="1">
      <c r="C6" s="135"/>
      <c r="D6" s="116">
        <f>'RFPR cover'!$C$13</f>
        <v>2014</v>
      </c>
      <c r="E6" s="117">
        <f>D6+1</f>
        <v>2015</v>
      </c>
      <c r="F6" s="117">
        <f t="shared" ref="F6:K6" si="0">E6+1</f>
        <v>2016</v>
      </c>
      <c r="G6" s="117">
        <f t="shared" si="0"/>
        <v>2017</v>
      </c>
      <c r="H6" s="117">
        <f t="shared" si="0"/>
        <v>2018</v>
      </c>
      <c r="I6" s="117">
        <f t="shared" si="0"/>
        <v>2019</v>
      </c>
      <c r="J6" s="117">
        <f t="shared" si="0"/>
        <v>2020</v>
      </c>
      <c r="K6" s="117">
        <f t="shared" si="0"/>
        <v>2021</v>
      </c>
    </row>
    <row r="7" spans="1:12" s="2" customFormat="1">
      <c r="C7" s="135"/>
    </row>
    <row r="8" spans="1:12" s="2" customFormat="1">
      <c r="B8" s="49" t="s">
        <v>131</v>
      </c>
      <c r="C8" s="136"/>
      <c r="D8" s="55"/>
      <c r="E8" s="55"/>
      <c r="F8" s="55"/>
      <c r="G8" s="55"/>
      <c r="H8" s="55"/>
      <c r="I8" s="55"/>
      <c r="J8" s="55"/>
      <c r="K8" s="55"/>
    </row>
    <row r="9" spans="1:12" s="2" customFormat="1">
      <c r="B9" s="224" t="s">
        <v>498</v>
      </c>
      <c r="C9" s="151" t="s">
        <v>125</v>
      </c>
      <c r="D9" s="584">
        <v>0.6525129999999999</v>
      </c>
      <c r="E9" s="585">
        <v>0.69962806587942483</v>
      </c>
      <c r="F9" s="585">
        <v>0.88895414176395271</v>
      </c>
      <c r="G9" s="585">
        <v>1.1931799681670683</v>
      </c>
      <c r="H9" s="585">
        <v>1.310215347499891</v>
      </c>
      <c r="I9" s="585">
        <v>1.2957664374627189</v>
      </c>
      <c r="J9" s="585">
        <v>1.6852410250086955</v>
      </c>
      <c r="K9" s="585">
        <v>1.26444</v>
      </c>
    </row>
    <row r="10" spans="1:12" s="2" customFormat="1">
      <c r="B10" s="224" t="s">
        <v>480</v>
      </c>
      <c r="C10" s="151" t="s">
        <v>125</v>
      </c>
      <c r="D10" s="586">
        <v>0</v>
      </c>
      <c r="E10" s="587">
        <v>0</v>
      </c>
      <c r="F10" s="587">
        <v>0</v>
      </c>
      <c r="G10" s="587">
        <v>0</v>
      </c>
      <c r="H10" s="587">
        <v>0</v>
      </c>
      <c r="I10" s="587">
        <v>0</v>
      </c>
      <c r="J10" s="587">
        <v>0</v>
      </c>
      <c r="K10" s="587">
        <v>0</v>
      </c>
    </row>
    <row r="11" spans="1:12" s="2" customFormat="1">
      <c r="B11" s="224" t="s">
        <v>497</v>
      </c>
      <c r="C11" s="151" t="s">
        <v>125</v>
      </c>
      <c r="D11" s="841">
        <v>6.5251299999999998E-2</v>
      </c>
      <c r="E11" s="842">
        <v>6.9962806587942489E-2</v>
      </c>
      <c r="F11" s="842">
        <v>8.8895414176395279E-2</v>
      </c>
      <c r="G11" s="842">
        <v>0.11931799681670684</v>
      </c>
      <c r="H11" s="842">
        <v>0.13102153474998909</v>
      </c>
      <c r="I11" s="842">
        <v>0.1295766437462719</v>
      </c>
      <c r="J11" s="842">
        <v>0.16852410250086958</v>
      </c>
      <c r="K11" s="842">
        <v>0.126444</v>
      </c>
    </row>
    <row r="12" spans="1:12" s="12" customFormat="1">
      <c r="B12" s="49" t="s">
        <v>129</v>
      </c>
      <c r="C12" s="151" t="s">
        <v>125</v>
      </c>
      <c r="D12" s="600">
        <f>D9-D10-D11</f>
        <v>0.58726169999999989</v>
      </c>
      <c r="E12" s="601">
        <f t="shared" ref="E12:K12" si="1">E9-E10-E11</f>
        <v>0.62966525929148232</v>
      </c>
      <c r="F12" s="601">
        <f t="shared" si="1"/>
        <v>0.80005872758755747</v>
      </c>
      <c r="G12" s="601">
        <f t="shared" si="1"/>
        <v>1.0738619713503614</v>
      </c>
      <c r="H12" s="601">
        <f t="shared" si="1"/>
        <v>1.179193812749902</v>
      </c>
      <c r="I12" s="601">
        <f t="shared" si="1"/>
        <v>1.1661897937164469</v>
      </c>
      <c r="J12" s="601">
        <f t="shared" si="1"/>
        <v>1.5167169225078259</v>
      </c>
      <c r="K12" s="601">
        <f t="shared" si="1"/>
        <v>1.137996</v>
      </c>
      <c r="L12" s="2"/>
    </row>
    <row r="13" spans="1:12" s="12" customFormat="1">
      <c r="B13" s="49"/>
      <c r="C13" s="135"/>
      <c r="D13" s="50"/>
      <c r="E13" s="50"/>
      <c r="F13" s="50"/>
      <c r="G13" s="50"/>
      <c r="H13" s="50"/>
      <c r="I13" s="50"/>
      <c r="J13" s="50"/>
      <c r="K13" s="50"/>
      <c r="L13" s="2"/>
    </row>
    <row r="14" spans="1:12" s="2" customFormat="1">
      <c r="B14" s="49" t="s">
        <v>152</v>
      </c>
      <c r="C14" s="136"/>
      <c r="D14" s="55"/>
      <c r="E14" s="55"/>
      <c r="F14" s="55"/>
      <c r="G14" s="55"/>
      <c r="H14" s="55"/>
      <c r="I14" s="55"/>
      <c r="J14" s="55"/>
      <c r="K14" s="55"/>
    </row>
    <row r="15" spans="1:12" s="2" customFormat="1" ht="13.15" customHeight="1">
      <c r="B15" s="224" t="s">
        <v>500</v>
      </c>
      <c r="C15" s="151" t="s">
        <v>125</v>
      </c>
      <c r="D15" s="584">
        <v>0</v>
      </c>
      <c r="E15" s="585">
        <v>0</v>
      </c>
      <c r="F15" s="585">
        <v>0</v>
      </c>
      <c r="G15" s="585">
        <v>0</v>
      </c>
      <c r="H15" s="585">
        <v>0</v>
      </c>
      <c r="I15" s="585">
        <v>0</v>
      </c>
      <c r="J15" s="585">
        <v>0</v>
      </c>
      <c r="K15" s="585">
        <v>0</v>
      </c>
    </row>
    <row r="16" spans="1:12" s="2" customFormat="1">
      <c r="B16" s="224" t="s">
        <v>499</v>
      </c>
      <c r="C16" s="151" t="s">
        <v>125</v>
      </c>
      <c r="D16" s="586">
        <v>0</v>
      </c>
      <c r="E16" s="587">
        <v>0</v>
      </c>
      <c r="F16" s="587">
        <v>0</v>
      </c>
      <c r="G16" s="587">
        <v>0</v>
      </c>
      <c r="H16" s="587">
        <v>0</v>
      </c>
      <c r="I16" s="587">
        <v>0</v>
      </c>
      <c r="J16" s="587">
        <v>0</v>
      </c>
      <c r="K16" s="587">
        <v>0</v>
      </c>
    </row>
    <row r="17" spans="2:12" s="12" customFormat="1">
      <c r="B17" s="49" t="s">
        <v>130</v>
      </c>
      <c r="C17" s="151" t="s">
        <v>125</v>
      </c>
      <c r="D17" s="600">
        <f>D15-D16</f>
        <v>0</v>
      </c>
      <c r="E17" s="600">
        <f t="shared" ref="E17:K17" si="2">E15-E16</f>
        <v>0</v>
      </c>
      <c r="F17" s="600">
        <f t="shared" si="2"/>
        <v>0</v>
      </c>
      <c r="G17" s="600">
        <f t="shared" si="2"/>
        <v>0</v>
      </c>
      <c r="H17" s="600">
        <f t="shared" si="2"/>
        <v>0</v>
      </c>
      <c r="I17" s="600">
        <f t="shared" si="2"/>
        <v>0</v>
      </c>
      <c r="J17" s="600">
        <f t="shared" si="2"/>
        <v>0</v>
      </c>
      <c r="K17" s="600">
        <f t="shared" si="2"/>
        <v>0</v>
      </c>
      <c r="L17" s="2"/>
    </row>
    <row r="18" spans="2:12" s="12" customFormat="1">
      <c r="B18" s="49"/>
      <c r="C18" s="135"/>
      <c r="D18" s="50"/>
      <c r="E18" s="50"/>
      <c r="F18" s="50"/>
      <c r="G18" s="50"/>
      <c r="H18" s="50"/>
      <c r="I18" s="50"/>
      <c r="J18" s="50"/>
      <c r="K18" s="50"/>
      <c r="L18" s="2"/>
    </row>
    <row r="19" spans="2:12" s="2" customFormat="1">
      <c r="B19" s="49" t="s">
        <v>153</v>
      </c>
      <c r="C19" s="136"/>
      <c r="D19" s="55"/>
      <c r="E19" s="55"/>
      <c r="F19" s="55"/>
      <c r="G19" s="55"/>
      <c r="H19" s="55"/>
      <c r="I19" s="55"/>
      <c r="J19" s="55"/>
      <c r="K19" s="55"/>
    </row>
    <row r="20" spans="2:12" s="2" customFormat="1">
      <c r="B20" s="224" t="s">
        <v>429</v>
      </c>
      <c r="C20" s="151" t="s">
        <v>125</v>
      </c>
      <c r="D20" s="584">
        <v>0</v>
      </c>
      <c r="E20" s="585">
        <v>6.4921100000000003</v>
      </c>
      <c r="F20" s="585">
        <v>8.3356092000000004</v>
      </c>
      <c r="G20" s="585">
        <v>15.559482790000001</v>
      </c>
      <c r="H20" s="585">
        <v>0</v>
      </c>
      <c r="I20" s="585">
        <v>0</v>
      </c>
      <c r="J20" s="585">
        <v>0</v>
      </c>
      <c r="K20" s="585">
        <v>0</v>
      </c>
    </row>
    <row r="21" spans="2:12" s="2" customFormat="1">
      <c r="B21" s="224" t="s">
        <v>497</v>
      </c>
      <c r="C21" s="151" t="s">
        <v>125</v>
      </c>
      <c r="D21" s="622">
        <v>0</v>
      </c>
      <c r="E21" s="623">
        <v>0.73698200000000003</v>
      </c>
      <c r="F21" s="623">
        <v>0.94532797000000002</v>
      </c>
      <c r="G21" s="623">
        <v>1.76437559</v>
      </c>
      <c r="H21" s="623">
        <v>0</v>
      </c>
      <c r="I21" s="623">
        <v>0</v>
      </c>
      <c r="J21" s="623">
        <v>0</v>
      </c>
      <c r="K21" s="623">
        <v>0</v>
      </c>
    </row>
    <row r="22" spans="2:12" s="2" customFormat="1">
      <c r="B22" s="33"/>
      <c r="C22" s="137"/>
      <c r="D22" s="33"/>
      <c r="E22" s="33"/>
      <c r="F22" s="33"/>
      <c r="G22" s="33"/>
      <c r="H22" s="33"/>
      <c r="I22" s="33"/>
      <c r="J22" s="33"/>
      <c r="K22" s="33"/>
    </row>
    <row r="23" spans="2:12" s="2" customFormat="1">
      <c r="B23" s="224" t="s">
        <v>483</v>
      </c>
      <c r="C23" s="151" t="s">
        <v>125</v>
      </c>
      <c r="D23" s="622">
        <v>0</v>
      </c>
      <c r="E23" s="623">
        <v>0</v>
      </c>
      <c r="F23" s="623">
        <v>0</v>
      </c>
      <c r="G23" s="623">
        <v>0</v>
      </c>
      <c r="H23" s="623">
        <v>0</v>
      </c>
      <c r="I23" s="623">
        <v>0.73699999999999999</v>
      </c>
      <c r="J23" s="623">
        <v>0</v>
      </c>
      <c r="K23" s="623">
        <v>0</v>
      </c>
    </row>
    <row r="24" spans="2:12" s="2" customFormat="1">
      <c r="B24" s="33"/>
      <c r="C24" s="137"/>
      <c r="D24" s="33"/>
      <c r="E24" s="33"/>
      <c r="F24" s="33"/>
      <c r="G24" s="33"/>
      <c r="H24" s="33"/>
      <c r="I24" s="33"/>
      <c r="J24" s="33"/>
      <c r="K24" s="33"/>
    </row>
    <row r="25" spans="2:12" s="2" customFormat="1">
      <c r="B25" s="79"/>
      <c r="C25" s="149"/>
      <c r="D25" s="79"/>
      <c r="E25" s="79"/>
      <c r="F25" s="79"/>
      <c r="G25" s="79"/>
      <c r="H25" s="79"/>
      <c r="I25" s="79"/>
      <c r="J25" s="79"/>
      <c r="K25" s="79"/>
      <c r="L25" s="79"/>
    </row>
    <row r="26" spans="2:12" s="2" customFormat="1">
      <c r="B26" s="33"/>
      <c r="C26" s="137"/>
      <c r="D26" s="33"/>
      <c r="E26" s="33"/>
      <c r="F26" s="33"/>
      <c r="G26" s="33"/>
      <c r="H26" s="33"/>
      <c r="I26" s="33"/>
      <c r="J26" s="33"/>
      <c r="K26" s="33"/>
    </row>
    <row r="27" spans="2:12" s="2" customFormat="1">
      <c r="B27" s="49" t="s">
        <v>375</v>
      </c>
      <c r="C27" s="137"/>
      <c r="D27" s="33"/>
      <c r="E27" s="33"/>
      <c r="F27" s="33"/>
      <c r="G27" s="33"/>
      <c r="H27" s="33"/>
      <c r="I27" s="33"/>
      <c r="J27" s="33"/>
      <c r="K27" s="33"/>
    </row>
    <row r="28" spans="2:12" s="2" customFormat="1">
      <c r="B28" s="224" t="s">
        <v>481</v>
      </c>
      <c r="C28" s="154" t="str">
        <f>'RFPR cover'!$C$14</f>
        <v>£m 09/10</v>
      </c>
      <c r="D28" s="670">
        <f>(SUM(D10,D11,D21)-D23)/Data!C34</f>
        <v>5.5928611851048526E-2</v>
      </c>
      <c r="E28" s="670">
        <f>(SUM(E10,E11,E21)-E23)/Data!D34</f>
        <v>0.67835779466413915</v>
      </c>
      <c r="F28" s="670">
        <f>(SUM(F10,F11,F21)-F23)/Data!E34</f>
        <v>0.86014993055466449</v>
      </c>
      <c r="G28" s="670">
        <f>(SUM(G10,G11,G21)-G23)/Data!F34</f>
        <v>1.5337780542306196</v>
      </c>
      <c r="H28" s="670">
        <f>(SUM(H10,H11,H21)-H23)/Data!G34</f>
        <v>0.10283485198102964</v>
      </c>
      <c r="I28" s="670">
        <f>(SUM(I10,I11,I21)-I23)/Data!H34</f>
        <v>-0.46261282882515908</v>
      </c>
      <c r="J28" s="670">
        <f>(SUM(J10,J11,J21)-J23)/Data!I34</f>
        <v>0.12510903456590969</v>
      </c>
      <c r="K28" s="670">
        <f>(SUM(K10,K11,K21)-K23)/Data!J34</f>
        <v>9.1602420363144907E-2</v>
      </c>
      <c r="L28" s="33"/>
    </row>
  </sheetData>
  <conditionalFormatting sqref="D6:K6">
    <cfRule type="expression" dxfId="43" priority="24">
      <formula>AND(D$5="Actuals",E$5="Forecast")</formula>
    </cfRule>
  </conditionalFormatting>
  <conditionalFormatting sqref="D5:K5">
    <cfRule type="expression" dxfId="42"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rgb="FFFFFFCC"/>
    <pageSetUpPr fitToPage="1"/>
  </sheetPr>
  <dimension ref="A1:O107"/>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101.75" customWidth="1"/>
    <col min="3" max="3" width="14.125" customWidth="1"/>
    <col min="4" max="11" width="11.125" customWidth="1"/>
    <col min="12" max="13" width="12.875" customWidth="1"/>
    <col min="14" max="14" width="5" customWidth="1"/>
  </cols>
  <sheetData>
    <row r="1" spans="1:14" s="29" customFormat="1" ht="20.25">
      <c r="A1" s="913" t="s">
        <v>260</v>
      </c>
      <c r="B1" s="909"/>
      <c r="C1" s="255"/>
      <c r="D1" s="255"/>
      <c r="E1" s="255"/>
      <c r="F1" s="255"/>
      <c r="G1" s="255"/>
      <c r="H1" s="255"/>
      <c r="I1" s="256"/>
      <c r="J1" s="256"/>
      <c r="K1" s="257"/>
      <c r="L1" s="257"/>
      <c r="M1" s="257"/>
      <c r="N1" s="258"/>
    </row>
    <row r="2" spans="1:14" s="29" customFormat="1" ht="20.25">
      <c r="A2" s="902" t="str">
        <f>'RFPR cover'!C5</f>
        <v>SPT</v>
      </c>
      <c r="B2" s="895"/>
      <c r="C2" s="27"/>
      <c r="D2" s="27"/>
      <c r="E2" s="27"/>
      <c r="F2" s="27"/>
      <c r="G2" s="27"/>
      <c r="H2" s="27"/>
      <c r="I2" s="25"/>
      <c r="J2" s="25"/>
      <c r="K2" s="25"/>
      <c r="L2" s="25"/>
      <c r="M2" s="25"/>
      <c r="N2" s="122"/>
    </row>
    <row r="3" spans="1:14" s="29" customFormat="1" ht="23.25">
      <c r="A3" s="905">
        <f>'RFPR cover'!C7</f>
        <v>2020</v>
      </c>
      <c r="B3" s="911" t="str">
        <f>'R1 - RoRE'!B3</f>
        <v/>
      </c>
      <c r="C3" s="259"/>
      <c r="D3" s="259"/>
      <c r="E3" s="259"/>
      <c r="F3" s="259"/>
      <c r="G3" s="259"/>
      <c r="H3" s="259"/>
      <c r="I3" s="254"/>
      <c r="J3" s="254"/>
      <c r="K3" s="254"/>
      <c r="L3" s="254"/>
      <c r="M3" s="254"/>
      <c r="N3" s="260"/>
    </row>
    <row r="4" spans="1:14" s="29" customFormat="1" ht="12.75" customHeight="1">
      <c r="A4" s="37"/>
      <c r="B4" s="37"/>
      <c r="C4" s="37"/>
      <c r="D4" s="37"/>
      <c r="E4" s="37"/>
      <c r="F4" s="37"/>
      <c r="G4" s="37"/>
      <c r="H4" s="37"/>
      <c r="I4" s="32"/>
      <c r="J4" s="32"/>
      <c r="K4" s="32"/>
      <c r="L4" s="31"/>
    </row>
    <row r="5" spans="1:14" s="2" customFormat="1">
      <c r="B5" s="3"/>
      <c r="C5" s="3"/>
      <c r="D5" s="379" t="str">
        <f>IF(D6&lt;='RFPR cover'!$C$7,"Actuals","Forecast")</f>
        <v>Actuals</v>
      </c>
      <c r="E5" s="380" t="str">
        <f>IF(E6&lt;='RFPR cover'!$C$7,"Actuals","Forecast")</f>
        <v>Actuals</v>
      </c>
      <c r="F5" s="380" t="str">
        <f>IF(F6&lt;='RFPR cover'!$C$7,"Actuals","Forecast")</f>
        <v>Actuals</v>
      </c>
      <c r="G5" s="380" t="str">
        <f>IF(G6&lt;='RFPR cover'!$C$7,"Actuals","Forecast")</f>
        <v>Actuals</v>
      </c>
      <c r="H5" s="380" t="str">
        <f>IF(H6&lt;='RFPR cover'!$C$7,"Actuals","Forecast")</f>
        <v>Actuals</v>
      </c>
      <c r="I5" s="380" t="str">
        <f>IF(I6&lt;='RFPR cover'!$C$7,"Actuals","Forecast")</f>
        <v>Actuals</v>
      </c>
      <c r="J5" s="380" t="str">
        <f>IF(J6&lt;='RFPR cover'!$C$7,"Actuals","Forecast")</f>
        <v>Actuals</v>
      </c>
      <c r="K5" s="381" t="str">
        <f>IF(K6&lt;='RFPR cover'!$C$7,"Actuals","Forecast")</f>
        <v>Forecast</v>
      </c>
    </row>
    <row r="6" spans="1:14" s="2" customFormat="1" ht="25.5">
      <c r="D6" s="116">
        <f>'RFPR cover'!$C$13</f>
        <v>2014</v>
      </c>
      <c r="E6" s="117">
        <f>D6+1</f>
        <v>2015</v>
      </c>
      <c r="F6" s="117">
        <f t="shared" ref="F6:K6" si="0">E6+1</f>
        <v>2016</v>
      </c>
      <c r="G6" s="117">
        <f t="shared" si="0"/>
        <v>2017</v>
      </c>
      <c r="H6" s="117">
        <f t="shared" si="0"/>
        <v>2018</v>
      </c>
      <c r="I6" s="117">
        <f t="shared" si="0"/>
        <v>2019</v>
      </c>
      <c r="J6" s="117">
        <f t="shared" si="0"/>
        <v>2020</v>
      </c>
      <c r="K6" s="194">
        <f t="shared" si="0"/>
        <v>2021</v>
      </c>
      <c r="L6" s="100" t="str">
        <f>"Cumulative to "&amp;'RFPR cover'!$C$7</f>
        <v>Cumulative to 2020</v>
      </c>
      <c r="M6" s="279" t="s">
        <v>106</v>
      </c>
    </row>
    <row r="7" spans="1:14" s="2" customFormat="1"/>
    <row r="8" spans="1:14">
      <c r="B8" s="469" t="s">
        <v>299</v>
      </c>
      <c r="C8" s="151" t="s">
        <v>125</v>
      </c>
      <c r="D8" s="338">
        <v>20.700000000000003</v>
      </c>
      <c r="E8" s="375">
        <v>26.718864230000001</v>
      </c>
      <c r="F8" s="375">
        <v>32.441404380000002</v>
      </c>
      <c r="G8" s="375">
        <v>31.757741260000003</v>
      </c>
      <c r="H8" s="375">
        <v>31.209222230000002</v>
      </c>
      <c r="I8" s="375">
        <v>33.4</v>
      </c>
      <c r="J8" s="375">
        <v>35.496008029999992</v>
      </c>
      <c r="K8" s="376">
        <v>32.119992654109623</v>
      </c>
      <c r="L8" s="33"/>
      <c r="M8" s="33"/>
    </row>
    <row r="9" spans="1:14">
      <c r="B9" s="14"/>
      <c r="C9" s="151"/>
      <c r="D9" s="228"/>
      <c r="E9" s="228"/>
      <c r="F9" s="228"/>
      <c r="G9" s="228"/>
      <c r="H9" s="228"/>
      <c r="I9" s="228"/>
      <c r="J9" s="228"/>
      <c r="K9" s="228"/>
      <c r="L9" s="33"/>
      <c r="M9" s="33"/>
    </row>
    <row r="10" spans="1:14">
      <c r="B10" s="14" t="s">
        <v>459</v>
      </c>
      <c r="C10" s="16"/>
      <c r="D10" s="229"/>
      <c r="E10" s="229"/>
      <c r="F10" s="229"/>
      <c r="G10" s="229"/>
      <c r="H10" s="229"/>
      <c r="I10" s="229"/>
      <c r="J10" s="229"/>
      <c r="K10" s="229"/>
      <c r="L10" s="33"/>
      <c r="M10" s="33"/>
    </row>
    <row r="11" spans="1:14">
      <c r="B11" s="359" t="s">
        <v>12</v>
      </c>
      <c r="C11" s="151" t="s">
        <v>125</v>
      </c>
      <c r="D11" s="367">
        <v>0</v>
      </c>
      <c r="E11" s="368">
        <v>0</v>
      </c>
      <c r="F11" s="368">
        <v>0</v>
      </c>
      <c r="G11" s="368">
        <v>0</v>
      </c>
      <c r="H11" s="368">
        <v>0</v>
      </c>
      <c r="I11" s="368">
        <v>0</v>
      </c>
      <c r="J11" s="368">
        <v>0</v>
      </c>
      <c r="K11" s="372">
        <v>0</v>
      </c>
      <c r="L11" s="33"/>
      <c r="M11" s="33"/>
    </row>
    <row r="12" spans="1:14">
      <c r="B12" s="359" t="s">
        <v>13</v>
      </c>
      <c r="C12" s="151" t="s">
        <v>125</v>
      </c>
      <c r="D12" s="337">
        <v>0</v>
      </c>
      <c r="E12" s="369">
        <v>0</v>
      </c>
      <c r="F12" s="369">
        <v>0</v>
      </c>
      <c r="G12" s="369">
        <v>0</v>
      </c>
      <c r="H12" s="369">
        <v>0</v>
      </c>
      <c r="I12" s="369">
        <v>0</v>
      </c>
      <c r="J12" s="369">
        <v>0</v>
      </c>
      <c r="K12" s="373">
        <v>0</v>
      </c>
      <c r="L12" s="33"/>
      <c r="M12" s="33"/>
    </row>
    <row r="13" spans="1:14">
      <c r="B13" s="359" t="s">
        <v>14</v>
      </c>
      <c r="C13" s="151" t="s">
        <v>125</v>
      </c>
      <c r="D13" s="337">
        <v>0</v>
      </c>
      <c r="E13" s="369">
        <v>0</v>
      </c>
      <c r="F13" s="369">
        <v>0</v>
      </c>
      <c r="G13" s="369">
        <v>0</v>
      </c>
      <c r="H13" s="369">
        <v>0</v>
      </c>
      <c r="I13" s="369">
        <v>0</v>
      </c>
      <c r="J13" s="369">
        <v>0</v>
      </c>
      <c r="K13" s="373">
        <v>0</v>
      </c>
      <c r="L13" s="33"/>
      <c r="M13" s="33"/>
    </row>
    <row r="14" spans="1:14">
      <c r="B14" s="359" t="s">
        <v>15</v>
      </c>
      <c r="C14" s="151" t="s">
        <v>125</v>
      </c>
      <c r="D14" s="337">
        <v>0</v>
      </c>
      <c r="E14" s="369">
        <v>0</v>
      </c>
      <c r="F14" s="369">
        <v>0</v>
      </c>
      <c r="G14" s="369">
        <v>0</v>
      </c>
      <c r="H14" s="369">
        <v>0</v>
      </c>
      <c r="I14" s="369">
        <v>0</v>
      </c>
      <c r="J14" s="369">
        <v>0</v>
      </c>
      <c r="K14" s="373">
        <v>0</v>
      </c>
      <c r="L14" s="33"/>
      <c r="M14" s="33"/>
    </row>
    <row r="15" spans="1:14">
      <c r="B15" s="359" t="s">
        <v>16</v>
      </c>
      <c r="C15" s="151" t="s">
        <v>125</v>
      </c>
      <c r="D15" s="337">
        <v>0</v>
      </c>
      <c r="E15" s="369">
        <v>0</v>
      </c>
      <c r="F15" s="369">
        <v>0</v>
      </c>
      <c r="G15" s="369">
        <v>0</v>
      </c>
      <c r="H15" s="369">
        <v>0</v>
      </c>
      <c r="I15" s="369">
        <v>0</v>
      </c>
      <c r="J15" s="369">
        <v>0</v>
      </c>
      <c r="K15" s="373">
        <v>0</v>
      </c>
      <c r="L15" s="33"/>
      <c r="M15" s="33"/>
    </row>
    <row r="16" spans="1:14">
      <c r="B16" s="359" t="s">
        <v>17</v>
      </c>
      <c r="C16" s="151" t="s">
        <v>125</v>
      </c>
      <c r="D16" s="337">
        <v>0</v>
      </c>
      <c r="E16" s="369">
        <v>0</v>
      </c>
      <c r="F16" s="369">
        <v>0</v>
      </c>
      <c r="G16" s="369">
        <v>0</v>
      </c>
      <c r="H16" s="369">
        <v>0</v>
      </c>
      <c r="I16" s="369">
        <v>0</v>
      </c>
      <c r="J16" s="369">
        <v>0</v>
      </c>
      <c r="K16" s="373">
        <v>0</v>
      </c>
      <c r="L16" s="33"/>
    </row>
    <row r="17" spans="2:12">
      <c r="B17" s="359" t="s">
        <v>278</v>
      </c>
      <c r="C17" s="151" t="s">
        <v>125</v>
      </c>
      <c r="D17" s="337">
        <v>0</v>
      </c>
      <c r="E17" s="369">
        <v>0</v>
      </c>
      <c r="F17" s="369">
        <v>0</v>
      </c>
      <c r="G17" s="369">
        <v>0</v>
      </c>
      <c r="H17" s="369">
        <v>0</v>
      </c>
      <c r="I17" s="369">
        <v>0</v>
      </c>
      <c r="J17" s="369">
        <v>0</v>
      </c>
      <c r="K17" s="373">
        <v>0</v>
      </c>
      <c r="L17" s="33"/>
    </row>
    <row r="18" spans="2:12" ht="12.75" customHeight="1">
      <c r="B18" s="359" t="s">
        <v>18</v>
      </c>
      <c r="C18" s="151" t="s">
        <v>125</v>
      </c>
      <c r="D18" s="337">
        <v>0</v>
      </c>
      <c r="E18" s="369">
        <v>0</v>
      </c>
      <c r="F18" s="369">
        <v>0</v>
      </c>
      <c r="G18" s="369">
        <v>0</v>
      </c>
      <c r="H18" s="369">
        <v>0</v>
      </c>
      <c r="I18" s="369">
        <v>0</v>
      </c>
      <c r="J18" s="369">
        <v>0</v>
      </c>
      <c r="K18" s="373">
        <v>0</v>
      </c>
      <c r="L18" s="33"/>
    </row>
    <row r="19" spans="2:12">
      <c r="B19" s="359" t="s">
        <v>597</v>
      </c>
      <c r="C19" s="151" t="s">
        <v>125</v>
      </c>
      <c r="D19" s="337">
        <v>2</v>
      </c>
      <c r="E19" s="369">
        <v>3.2</v>
      </c>
      <c r="F19" s="369">
        <v>4.4000000000000004</v>
      </c>
      <c r="G19" s="369">
        <v>5.0999999999999996</v>
      </c>
      <c r="H19" s="369">
        <v>4.0999999999999996</v>
      </c>
      <c r="I19" s="369">
        <v>1.7</v>
      </c>
      <c r="J19" s="369">
        <v>0.2</v>
      </c>
      <c r="K19" s="373">
        <v>0</v>
      </c>
      <c r="L19" s="33"/>
    </row>
    <row r="20" spans="2:12">
      <c r="B20" s="359" t="s">
        <v>598</v>
      </c>
      <c r="C20" s="151" t="s">
        <v>125</v>
      </c>
      <c r="D20" s="337">
        <v>0</v>
      </c>
      <c r="E20" s="369">
        <v>0</v>
      </c>
      <c r="F20" s="369">
        <v>0</v>
      </c>
      <c r="G20" s="369">
        <v>0</v>
      </c>
      <c r="H20" s="369">
        <v>0</v>
      </c>
      <c r="I20" s="369">
        <v>0</v>
      </c>
      <c r="J20" s="369">
        <v>0</v>
      </c>
      <c r="K20" s="373">
        <v>0</v>
      </c>
      <c r="L20" s="33"/>
    </row>
    <row r="21" spans="2:12">
      <c r="B21" s="359" t="s">
        <v>599</v>
      </c>
      <c r="C21" s="151" t="s">
        <v>125</v>
      </c>
      <c r="D21" s="337">
        <v>0</v>
      </c>
      <c r="E21" s="369">
        <v>0</v>
      </c>
      <c r="F21" s="369">
        <v>0</v>
      </c>
      <c r="G21" s="369">
        <v>0</v>
      </c>
      <c r="H21" s="369">
        <v>0</v>
      </c>
      <c r="I21" s="369">
        <v>0</v>
      </c>
      <c r="J21" s="369">
        <v>0</v>
      </c>
      <c r="K21" s="373">
        <v>0</v>
      </c>
      <c r="L21" s="33"/>
    </row>
    <row r="22" spans="2:12">
      <c r="B22" s="359" t="s">
        <v>600</v>
      </c>
      <c r="C22" s="151" t="s">
        <v>125</v>
      </c>
      <c r="D22" s="337">
        <v>0</v>
      </c>
      <c r="E22" s="369">
        <v>0</v>
      </c>
      <c r="F22" s="369">
        <v>0</v>
      </c>
      <c r="G22" s="369">
        <v>0</v>
      </c>
      <c r="H22" s="369">
        <v>0</v>
      </c>
      <c r="I22" s="369">
        <v>0</v>
      </c>
      <c r="J22" s="369">
        <v>0</v>
      </c>
      <c r="K22" s="373">
        <v>0</v>
      </c>
      <c r="L22" s="33"/>
    </row>
    <row r="23" spans="2:12">
      <c r="B23" s="359" t="s">
        <v>601</v>
      </c>
      <c r="C23" s="151" t="s">
        <v>125</v>
      </c>
      <c r="D23" s="337">
        <v>0</v>
      </c>
      <c r="E23" s="369">
        <v>0</v>
      </c>
      <c r="F23" s="369">
        <v>0</v>
      </c>
      <c r="G23" s="369">
        <v>0</v>
      </c>
      <c r="H23" s="369">
        <v>0</v>
      </c>
      <c r="I23" s="369">
        <v>0</v>
      </c>
      <c r="J23" s="369">
        <v>0</v>
      </c>
      <c r="K23" s="373">
        <v>0</v>
      </c>
      <c r="L23" s="33"/>
    </row>
    <row r="24" spans="2:12">
      <c r="B24" s="359" t="s">
        <v>602</v>
      </c>
      <c r="C24" s="151" t="s">
        <v>125</v>
      </c>
      <c r="D24" s="337">
        <v>0</v>
      </c>
      <c r="E24" s="369">
        <v>0</v>
      </c>
      <c r="F24" s="369">
        <v>0</v>
      </c>
      <c r="G24" s="369">
        <v>0</v>
      </c>
      <c r="H24" s="369">
        <v>0</v>
      </c>
      <c r="I24" s="369">
        <v>0</v>
      </c>
      <c r="J24" s="369">
        <v>0</v>
      </c>
      <c r="K24" s="373">
        <v>0</v>
      </c>
      <c r="L24" s="33"/>
    </row>
    <row r="25" spans="2:12">
      <c r="B25" s="359" t="s">
        <v>603</v>
      </c>
      <c r="C25" s="151" t="s">
        <v>125</v>
      </c>
      <c r="D25" s="337">
        <v>0</v>
      </c>
      <c r="E25" s="369">
        <v>0</v>
      </c>
      <c r="F25" s="369">
        <v>0</v>
      </c>
      <c r="G25" s="369">
        <v>0</v>
      </c>
      <c r="H25" s="369">
        <v>0</v>
      </c>
      <c r="I25" s="369">
        <v>0</v>
      </c>
      <c r="J25" s="369">
        <v>0</v>
      </c>
      <c r="K25" s="373">
        <v>0</v>
      </c>
      <c r="L25" s="33"/>
    </row>
    <row r="26" spans="2:12">
      <c r="B26" s="359" t="s">
        <v>604</v>
      </c>
      <c r="C26" s="151" t="s">
        <v>125</v>
      </c>
      <c r="D26" s="337">
        <v>0</v>
      </c>
      <c r="E26" s="369">
        <v>0</v>
      </c>
      <c r="F26" s="369">
        <v>0</v>
      </c>
      <c r="G26" s="369">
        <v>0</v>
      </c>
      <c r="H26" s="369">
        <v>0</v>
      </c>
      <c r="I26" s="369">
        <v>0</v>
      </c>
      <c r="J26" s="369">
        <v>0</v>
      </c>
      <c r="K26" s="373">
        <v>0</v>
      </c>
      <c r="L26" s="33"/>
    </row>
    <row r="27" spans="2:12">
      <c r="B27" s="359" t="s">
        <v>605</v>
      </c>
      <c r="C27" s="151" t="s">
        <v>125</v>
      </c>
      <c r="D27" s="370">
        <v>0</v>
      </c>
      <c r="E27" s="371">
        <v>0</v>
      </c>
      <c r="F27" s="371">
        <v>0</v>
      </c>
      <c r="G27" s="371">
        <v>0</v>
      </c>
      <c r="H27" s="371">
        <v>0</v>
      </c>
      <c r="I27" s="371">
        <v>0</v>
      </c>
      <c r="J27" s="371">
        <v>0</v>
      </c>
      <c r="K27" s="374">
        <v>0</v>
      </c>
      <c r="L27" s="33"/>
    </row>
    <row r="28" spans="2:12">
      <c r="B28" s="13" t="s">
        <v>19</v>
      </c>
      <c r="C28" s="151" t="s">
        <v>125</v>
      </c>
      <c r="D28" s="141">
        <f t="shared" ref="D28:K28" si="1">SUM(D8,D11:D27)</f>
        <v>22.700000000000003</v>
      </c>
      <c r="E28" s="142">
        <f t="shared" si="1"/>
        <v>29.918864230000001</v>
      </c>
      <c r="F28" s="142">
        <f t="shared" si="1"/>
        <v>36.84140438</v>
      </c>
      <c r="G28" s="142">
        <f t="shared" si="1"/>
        <v>36.857741260000005</v>
      </c>
      <c r="H28" s="142">
        <f t="shared" si="1"/>
        <v>35.309222230000003</v>
      </c>
      <c r="I28" s="142">
        <f t="shared" si="1"/>
        <v>35.1</v>
      </c>
      <c r="J28" s="142">
        <f t="shared" si="1"/>
        <v>35.696008029999994</v>
      </c>
      <c r="K28" s="143">
        <f t="shared" si="1"/>
        <v>32.119992654109623</v>
      </c>
      <c r="L28" s="33"/>
    </row>
    <row r="29" spans="2:12">
      <c r="B29" s="360" t="s">
        <v>520</v>
      </c>
      <c r="C29" s="151" t="s">
        <v>125</v>
      </c>
      <c r="D29" s="377"/>
      <c r="E29" s="378"/>
      <c r="F29" s="378"/>
      <c r="G29" s="671"/>
      <c r="H29" s="671"/>
      <c r="I29" s="671">
        <v>0</v>
      </c>
      <c r="J29" s="671">
        <v>0</v>
      </c>
      <c r="K29" s="672">
        <v>1.0976917133559982</v>
      </c>
      <c r="L29" s="33"/>
    </row>
    <row r="30" spans="2:12">
      <c r="B30" s="336" t="s">
        <v>300</v>
      </c>
      <c r="C30" s="151" t="s">
        <v>125</v>
      </c>
      <c r="D30" s="141">
        <f>SUM(D28:D29)</f>
        <v>22.700000000000003</v>
      </c>
      <c r="E30" s="142">
        <f t="shared" ref="E30:K30" si="2">SUM(E28:E29)</f>
        <v>29.918864230000001</v>
      </c>
      <c r="F30" s="142">
        <f t="shared" si="2"/>
        <v>36.84140438</v>
      </c>
      <c r="G30" s="142">
        <f t="shared" si="2"/>
        <v>36.857741260000005</v>
      </c>
      <c r="H30" s="142">
        <f t="shared" si="2"/>
        <v>35.309222230000003</v>
      </c>
      <c r="I30" s="142">
        <f t="shared" si="2"/>
        <v>35.1</v>
      </c>
      <c r="J30" s="142">
        <f t="shared" si="2"/>
        <v>35.696008029999994</v>
      </c>
      <c r="K30" s="143">
        <f t="shared" si="2"/>
        <v>33.217684367465623</v>
      </c>
    </row>
    <row r="31" spans="2:12">
      <c r="B31" s="212" t="s">
        <v>20</v>
      </c>
      <c r="C31" s="151" t="s">
        <v>125</v>
      </c>
      <c r="D31" s="576">
        <v>-0.4</v>
      </c>
      <c r="E31" s="577">
        <v>-0.2</v>
      </c>
      <c r="F31" s="577">
        <v>-0.3</v>
      </c>
      <c r="G31" s="577">
        <v>-0.1</v>
      </c>
      <c r="H31" s="577">
        <v>0</v>
      </c>
      <c r="I31" s="577">
        <v>0</v>
      </c>
      <c r="J31" s="577">
        <v>2.7915747899999999</v>
      </c>
      <c r="K31" s="673">
        <v>7.3</v>
      </c>
    </row>
    <row r="32" spans="2:12">
      <c r="B32" s="212" t="s">
        <v>453</v>
      </c>
      <c r="C32" s="151" t="s">
        <v>125</v>
      </c>
      <c r="D32" s="580">
        <v>23.079149830000002</v>
      </c>
      <c r="E32" s="581">
        <v>30.11886423</v>
      </c>
      <c r="F32" s="581">
        <v>37.141404379999997</v>
      </c>
      <c r="G32" s="581">
        <v>36.957741260000006</v>
      </c>
      <c r="H32" s="581">
        <v>35.309222230000003</v>
      </c>
      <c r="I32" s="581">
        <v>35.1</v>
      </c>
      <c r="J32" s="581">
        <v>33.004430429999999</v>
      </c>
      <c r="K32" s="674">
        <v>25.917684367465622</v>
      </c>
    </row>
    <row r="33" spans="2:14">
      <c r="B33" s="212"/>
      <c r="D33" s="225" t="str">
        <f>IF(ABS(D30-SUM(D31:D32))&lt;'RFPR cover'!$F$14,"OK","ERROR")</f>
        <v>OK</v>
      </c>
      <c r="E33" s="226" t="str">
        <f>IF(ABS(E30-SUM(E31:E32))&lt;'RFPR cover'!$F$14,"OK","ERROR")</f>
        <v>OK</v>
      </c>
      <c r="F33" s="226" t="str">
        <f>IF(ABS(F30-SUM(F31:F32))&lt;'RFPR cover'!$F$14,"OK","ERROR")</f>
        <v>OK</v>
      </c>
      <c r="G33" s="226" t="str">
        <f>IF(ABS(G30-SUM(G31:G32))&lt;'RFPR cover'!$F$14,"OK","ERROR")</f>
        <v>OK</v>
      </c>
      <c r="H33" s="226" t="str">
        <f>IF(ABS(H30-SUM(H31:H32))&lt;'RFPR cover'!$F$14,"OK","ERROR")</f>
        <v>OK</v>
      </c>
      <c r="I33" s="226" t="str">
        <f>IF(ABS(I30-SUM(I31:I32))&lt;'RFPR cover'!$F$14,"OK","ERROR")</f>
        <v>OK</v>
      </c>
      <c r="J33" s="226" t="str">
        <f>IF(ABS(J30-SUM(J31:J32))&lt;'RFPR cover'!$F$14,"OK","ERROR")</f>
        <v>OK</v>
      </c>
      <c r="K33" s="227" t="str">
        <f>IF(ABS(K30-SUM(K31:K32))&lt;'RFPR cover'!$F$14,"OK","ERROR")</f>
        <v>OK</v>
      </c>
    </row>
    <row r="34" spans="2:14">
      <c r="D34" s="21"/>
      <c r="E34" s="21"/>
      <c r="F34" s="21"/>
      <c r="G34" s="21"/>
      <c r="H34" s="21"/>
      <c r="I34" s="21"/>
      <c r="J34" s="21"/>
      <c r="K34" s="21"/>
    </row>
    <row r="35" spans="2:14">
      <c r="B35" s="212" t="s">
        <v>514</v>
      </c>
      <c r="C35" s="151" t="s">
        <v>125</v>
      </c>
      <c r="D35" s="576">
        <v>0</v>
      </c>
      <c r="E35" s="577">
        <v>0</v>
      </c>
      <c r="F35" s="577">
        <v>0</v>
      </c>
      <c r="G35" s="577">
        <v>0</v>
      </c>
      <c r="H35" s="577">
        <v>0</v>
      </c>
      <c r="I35" s="577">
        <v>0</v>
      </c>
      <c r="J35" s="577">
        <v>0</v>
      </c>
      <c r="K35" s="673">
        <v>0</v>
      </c>
    </row>
    <row r="36" spans="2:14">
      <c r="D36" s="21"/>
      <c r="E36" s="21"/>
      <c r="F36" s="21"/>
      <c r="G36" s="21"/>
      <c r="H36" s="21"/>
      <c r="I36" s="21"/>
      <c r="J36" s="21"/>
      <c r="K36" s="21"/>
    </row>
    <row r="37" spans="2:14">
      <c r="B37" s="212" t="s">
        <v>79</v>
      </c>
      <c r="C37" s="151" t="s">
        <v>125</v>
      </c>
      <c r="D37" s="873">
        <f>('R8 - Net Debt'!D54-AVERAGE('R8 - Net Debt'!D8,('R8 - Net Debt'!E10)))*(Data!C36-1)</f>
        <v>18.158827015428642</v>
      </c>
      <c r="E37" s="873">
        <f>('R8 - Net Debt'!E54-AVERAGE(('R8 - Net Debt'!E8),('R8 - Net Debt'!E10)))*(Data!D36-1)</f>
        <v>17.382376962893087</v>
      </c>
      <c r="F37" s="873">
        <f>('R8 - Net Debt'!F54-AVERAGE(('R8 - Net Debt'!F8),('R8 - Net Debt'!F10)))*(Data!E36-1)</f>
        <v>11.990594427799547</v>
      </c>
      <c r="G37" s="873">
        <f>('R8 - Net Debt'!G54-AVERAGE(('R8 - Net Debt'!G8),('R8 - Net Debt'!G10)))*(Data!F36-1)</f>
        <v>25.411940847926179</v>
      </c>
      <c r="H37" s="873">
        <f>('R8 - Net Debt'!H54-AVERAGE(('R8 - Net Debt'!H8),('R8 - Net Debt'!H10)))*(Data!G36-1)</f>
        <v>45.871304039367324</v>
      </c>
      <c r="I37" s="873">
        <f>('R8 - Net Debt'!I54-AVERAGE(('R8 - Net Debt'!I8),('R8 - Net Debt'!I10)))*(Data!H36-1)</f>
        <v>39.948491859094439</v>
      </c>
      <c r="J37" s="873">
        <f>('R8 - Net Debt'!J54-AVERAGE(('R8 - Net Debt'!J8),('R8 - Net Debt'!J10)))*(Data!I36-1)</f>
        <v>35.256827551639837</v>
      </c>
      <c r="K37" s="873">
        <f>('R8 - Net Debt'!K54-AVERAGE(('R8 - Net Debt'!K8),('R8 - Net Debt'!K10)))*(Data!J36-1)</f>
        <v>34.511874490556167</v>
      </c>
      <c r="N37" s="316"/>
    </row>
    <row r="38" spans="2:14" s="29" customFormat="1">
      <c r="B38" s="211"/>
      <c r="C38" s="815"/>
      <c r="D38" s="817"/>
      <c r="E38" s="817"/>
      <c r="F38" s="817"/>
      <c r="G38" s="817"/>
      <c r="H38" s="817"/>
      <c r="I38" s="817"/>
      <c r="J38" s="817"/>
      <c r="K38" s="817"/>
      <c r="L38"/>
      <c r="M38"/>
      <c r="N38" s="816"/>
    </row>
    <row r="39" spans="2:14">
      <c r="B39" s="212" t="s">
        <v>467</v>
      </c>
      <c r="C39" s="151" t="s">
        <v>125</v>
      </c>
      <c r="D39" s="101">
        <f t="shared" ref="D39:K39" si="3">D30-D37</f>
        <v>4.5411729845713609</v>
      </c>
      <c r="E39" s="101">
        <f t="shared" si="3"/>
        <v>12.536487267106914</v>
      </c>
      <c r="F39" s="101">
        <f t="shared" si="3"/>
        <v>24.850809952200454</v>
      </c>
      <c r="G39" s="101">
        <f t="shared" si="3"/>
        <v>11.445800412073826</v>
      </c>
      <c r="H39" s="101">
        <f t="shared" si="3"/>
        <v>-10.562081809367321</v>
      </c>
      <c r="I39" s="101">
        <f t="shared" si="3"/>
        <v>-4.8484918590944375</v>
      </c>
      <c r="J39" s="101">
        <f t="shared" si="3"/>
        <v>0.43918047836015717</v>
      </c>
      <c r="K39" s="101">
        <f t="shared" si="3"/>
        <v>-1.2941901230905444</v>
      </c>
    </row>
    <row r="40" spans="2:14">
      <c r="B40" s="212"/>
      <c r="C40" s="151"/>
      <c r="D40" s="151"/>
      <c r="E40" s="151"/>
      <c r="F40" s="151"/>
      <c r="G40" s="151"/>
      <c r="H40" s="151"/>
      <c r="I40" s="151"/>
      <c r="J40" s="151"/>
      <c r="K40" s="151"/>
      <c r="L40" s="151"/>
      <c r="N40" s="316"/>
    </row>
    <row r="41" spans="2:14">
      <c r="B41" s="844" t="s">
        <v>357</v>
      </c>
      <c r="C41" s="151" t="s">
        <v>124</v>
      </c>
      <c r="D41" s="495">
        <f>Data!C34</f>
        <v>1.1666890673736021</v>
      </c>
      <c r="E41" s="495">
        <f>Data!D34</f>
        <v>1.1895563269638081</v>
      </c>
      <c r="F41" s="495">
        <f>Data!E34</f>
        <v>1.2023757108362261</v>
      </c>
      <c r="G41" s="495">
        <f>Data!F34</f>
        <v>1.2281396135646323</v>
      </c>
      <c r="H41" s="495">
        <f>Data!G34</f>
        <v>1.2740965949380583</v>
      </c>
      <c r="I41" s="495">
        <f>Data!H34</f>
        <v>1.3130274787154661</v>
      </c>
      <c r="J41" s="495">
        <f>Data!I34</f>
        <v>1.3470178479563604</v>
      </c>
      <c r="K41" s="495">
        <f>Data!J34</f>
        <v>1.3803565396932804</v>
      </c>
      <c r="L41" s="151"/>
      <c r="N41" s="316"/>
    </row>
    <row r="42" spans="2:14">
      <c r="L42" s="154"/>
      <c r="M42" s="154"/>
      <c r="N42" s="154"/>
    </row>
    <row r="43" spans="2:14">
      <c r="B43" s="826" t="s">
        <v>413</v>
      </c>
      <c r="C43" s="155" t="str">
        <f>'RFPR cover'!$C$14</f>
        <v>£m 09/10</v>
      </c>
      <c r="D43" s="144">
        <f t="shared" ref="D43:K43" si="4">D39/D41</f>
        <v>3.8923592511192764</v>
      </c>
      <c r="E43" s="145">
        <f t="shared" si="4"/>
        <v>10.538792474926101</v>
      </c>
      <c r="F43" s="145">
        <f t="shared" si="4"/>
        <v>20.668090454785766</v>
      </c>
      <c r="G43" s="145">
        <f t="shared" si="4"/>
        <v>9.3196248094732415</v>
      </c>
      <c r="H43" s="145">
        <f t="shared" si="4"/>
        <v>-8.2898595375971542</v>
      </c>
      <c r="I43" s="145">
        <f t="shared" si="4"/>
        <v>-3.692605019841408</v>
      </c>
      <c r="J43" s="145">
        <f t="shared" si="4"/>
        <v>0.32603909371094347</v>
      </c>
      <c r="K43" s="146">
        <f t="shared" si="4"/>
        <v>-0.93757669549500411</v>
      </c>
      <c r="L43" s="680">
        <f>SUM(D43:INDEX(D43:K43,0,MATCH('RFPR cover'!$C$7,$D$6:$K$6,0)))</f>
        <v>32.762441526576765</v>
      </c>
      <c r="M43" s="681">
        <f>SUM(D43:K43)</f>
        <v>31.824864831081761</v>
      </c>
    </row>
    <row r="44" spans="2:14">
      <c r="B44" s="212"/>
      <c r="C44" s="64"/>
      <c r="D44" s="798"/>
      <c r="E44" s="798"/>
      <c r="F44" s="798"/>
      <c r="G44" s="798"/>
      <c r="H44" s="798"/>
      <c r="I44" s="798"/>
      <c r="J44" s="798"/>
      <c r="K44" s="798"/>
      <c r="L44" s="821"/>
      <c r="M44" s="821"/>
    </row>
    <row r="45" spans="2:14">
      <c r="B45" s="826" t="s">
        <v>503</v>
      </c>
      <c r="C45" s="151"/>
      <c r="D45" s="798"/>
      <c r="E45" s="798"/>
      <c r="F45" s="798"/>
      <c r="G45" s="798"/>
      <c r="H45" s="798"/>
      <c r="I45" s="798"/>
      <c r="J45" s="798"/>
      <c r="K45" s="798"/>
      <c r="L45" s="821"/>
      <c r="M45" s="821"/>
    </row>
    <row r="46" spans="2:14">
      <c r="B46" s="359" t="s">
        <v>488</v>
      </c>
      <c r="C46" s="151" t="s">
        <v>125</v>
      </c>
      <c r="D46" s="872">
        <v>0</v>
      </c>
      <c r="E46" s="872">
        <v>0</v>
      </c>
      <c r="F46" s="872">
        <v>0</v>
      </c>
      <c r="G46" s="872">
        <v>0</v>
      </c>
      <c r="H46" s="872">
        <v>0</v>
      </c>
      <c r="I46" s="872">
        <v>0</v>
      </c>
      <c r="J46" s="872">
        <v>0</v>
      </c>
      <c r="K46" s="872">
        <v>0</v>
      </c>
      <c r="L46" s="680">
        <f>SUM(D46:INDEX(D46:K46,0,MATCH('RFPR cover'!$C$7,$D$6:$K$6,0)))</f>
        <v>0</v>
      </c>
      <c r="M46" s="680">
        <f>SUM(D46:K46)</f>
        <v>0</v>
      </c>
    </row>
    <row r="47" spans="2:14">
      <c r="B47" s="359" t="s">
        <v>523</v>
      </c>
      <c r="C47" s="151" t="s">
        <v>125</v>
      </c>
      <c r="D47" s="377"/>
      <c r="E47" s="378"/>
      <c r="F47" s="378"/>
      <c r="G47" s="671"/>
      <c r="H47" s="671"/>
      <c r="I47" s="671">
        <v>0</v>
      </c>
      <c r="J47" s="671">
        <v>0</v>
      </c>
      <c r="K47" s="671">
        <v>0</v>
      </c>
      <c r="L47" s="680">
        <f>SUM(D47:INDEX(D47:K47,0,MATCH('RFPR cover'!$C$7,$D$6:$K$6,0)))</f>
        <v>0</v>
      </c>
      <c r="M47" s="680">
        <f>SUM(D47:K47)</f>
        <v>0</v>
      </c>
    </row>
    <row r="48" spans="2:14">
      <c r="B48" s="359" t="s">
        <v>506</v>
      </c>
      <c r="C48" s="151" t="s">
        <v>125</v>
      </c>
      <c r="D48" s="872">
        <v>0</v>
      </c>
      <c r="E48" s="872">
        <v>0</v>
      </c>
      <c r="F48" s="872">
        <v>0</v>
      </c>
      <c r="G48" s="872">
        <v>0</v>
      </c>
      <c r="H48" s="872">
        <v>0</v>
      </c>
      <c r="I48" s="872">
        <v>0</v>
      </c>
      <c r="J48" s="872">
        <v>0</v>
      </c>
      <c r="K48" s="872">
        <v>0</v>
      </c>
      <c r="L48" s="680">
        <f>SUM(D48:INDEX(D48:K48,0,MATCH('RFPR cover'!$C$7,$D$6:$K$6,0)))</f>
        <v>0</v>
      </c>
      <c r="M48" s="680">
        <f t="shared" ref="M48:M55" si="5">SUM(D48:K48)</f>
        <v>0</v>
      </c>
    </row>
    <row r="49" spans="1:14">
      <c r="B49" s="359" t="s">
        <v>507</v>
      </c>
      <c r="C49" s="151" t="s">
        <v>125</v>
      </c>
      <c r="D49" s="872">
        <v>0</v>
      </c>
      <c r="E49" s="872">
        <v>0</v>
      </c>
      <c r="F49" s="872">
        <v>0</v>
      </c>
      <c r="G49" s="872">
        <v>0</v>
      </c>
      <c r="H49" s="872">
        <v>0</v>
      </c>
      <c r="I49" s="872">
        <v>0</v>
      </c>
      <c r="J49" s="872">
        <v>0</v>
      </c>
      <c r="K49" s="872">
        <v>0</v>
      </c>
      <c r="L49" s="680">
        <f>SUM(D49:INDEX(D49:K49,0,MATCH('RFPR cover'!$C$7,$D$6:$K$6,0)))</f>
        <v>0</v>
      </c>
      <c r="M49" s="680">
        <f t="shared" si="5"/>
        <v>0</v>
      </c>
    </row>
    <row r="50" spans="1:14">
      <c r="B50" s="359" t="s">
        <v>606</v>
      </c>
      <c r="C50" s="151" t="s">
        <v>125</v>
      </c>
      <c r="D50" s="872">
        <v>0</v>
      </c>
      <c r="E50" s="872">
        <v>0</v>
      </c>
      <c r="F50" s="872">
        <v>0</v>
      </c>
      <c r="G50" s="872">
        <v>0</v>
      </c>
      <c r="H50" s="872">
        <v>0</v>
      </c>
      <c r="I50" s="872">
        <v>0</v>
      </c>
      <c r="J50" s="872">
        <v>0</v>
      </c>
      <c r="K50" s="872">
        <v>0</v>
      </c>
      <c r="L50" s="680">
        <f>SUM(D50:INDEX(D50:K50,0,MATCH('RFPR cover'!$C$7,$D$6:$K$6,0)))</f>
        <v>0</v>
      </c>
      <c r="M50" s="680">
        <f t="shared" si="5"/>
        <v>0</v>
      </c>
    </row>
    <row r="51" spans="1:14">
      <c r="B51" s="359" t="s">
        <v>606</v>
      </c>
      <c r="C51" s="151" t="s">
        <v>125</v>
      </c>
      <c r="D51" s="872">
        <v>0</v>
      </c>
      <c r="E51" s="872">
        <v>0</v>
      </c>
      <c r="F51" s="872">
        <v>0</v>
      </c>
      <c r="G51" s="872">
        <v>0</v>
      </c>
      <c r="H51" s="872">
        <v>0</v>
      </c>
      <c r="I51" s="872">
        <v>0</v>
      </c>
      <c r="J51" s="872">
        <v>0</v>
      </c>
      <c r="K51" s="872">
        <v>0</v>
      </c>
      <c r="L51" s="680">
        <f>SUM(D51:INDEX(D51:K51,0,MATCH('RFPR cover'!$C$7,$D$6:$K$6,0)))</f>
        <v>0</v>
      </c>
      <c r="M51" s="680">
        <f t="shared" si="5"/>
        <v>0</v>
      </c>
    </row>
    <row r="52" spans="1:14">
      <c r="B52" s="359" t="s">
        <v>606</v>
      </c>
      <c r="C52" s="151" t="s">
        <v>125</v>
      </c>
      <c r="D52" s="872">
        <v>0</v>
      </c>
      <c r="E52" s="872">
        <v>0</v>
      </c>
      <c r="F52" s="872">
        <v>0</v>
      </c>
      <c r="G52" s="872">
        <v>0</v>
      </c>
      <c r="H52" s="872">
        <v>0</v>
      </c>
      <c r="I52" s="872">
        <v>0</v>
      </c>
      <c r="J52" s="872">
        <v>0</v>
      </c>
      <c r="K52" s="872">
        <v>0</v>
      </c>
      <c r="L52" s="680">
        <f>SUM(D52:INDEX(D52:K52,0,MATCH('RFPR cover'!$C$7,$D$6:$K$6,0)))</f>
        <v>0</v>
      </c>
      <c r="M52" s="680">
        <f t="shared" si="5"/>
        <v>0</v>
      </c>
    </row>
    <row r="53" spans="1:14">
      <c r="B53" s="359" t="s">
        <v>606</v>
      </c>
      <c r="C53" s="151" t="s">
        <v>125</v>
      </c>
      <c r="D53" s="872">
        <v>0</v>
      </c>
      <c r="E53" s="872">
        <v>0</v>
      </c>
      <c r="F53" s="872">
        <v>0</v>
      </c>
      <c r="G53" s="872">
        <v>0</v>
      </c>
      <c r="H53" s="872">
        <v>0</v>
      </c>
      <c r="I53" s="872">
        <v>0</v>
      </c>
      <c r="J53" s="872">
        <v>0</v>
      </c>
      <c r="K53" s="872">
        <v>0</v>
      </c>
      <c r="L53" s="680">
        <f>SUM(D53:INDEX(D53:K53,0,MATCH('RFPR cover'!$C$7,$D$6:$K$6,0)))</f>
        <v>0</v>
      </c>
      <c r="M53" s="680">
        <f t="shared" si="5"/>
        <v>0</v>
      </c>
    </row>
    <row r="54" spans="1:14" s="856" customFormat="1">
      <c r="B54" s="855"/>
      <c r="C54" s="857"/>
      <c r="D54" s="858"/>
      <c r="E54" s="858"/>
      <c r="F54" s="858"/>
      <c r="G54" s="858"/>
      <c r="H54" s="858"/>
      <c r="I54" s="858"/>
      <c r="J54" s="858"/>
      <c r="K54" s="858"/>
      <c r="L54" s="859"/>
      <c r="M54" s="859"/>
    </row>
    <row r="55" spans="1:14">
      <c r="B55" s="850" t="s">
        <v>504</v>
      </c>
      <c r="C55" s="234" t="s">
        <v>125</v>
      </c>
      <c r="D55" s="144">
        <f>SUM(D46:D53)</f>
        <v>0</v>
      </c>
      <c r="E55" s="144">
        <f t="shared" ref="E55:K55" si="6">SUM(E46:E53)</f>
        <v>0</v>
      </c>
      <c r="F55" s="144">
        <f t="shared" si="6"/>
        <v>0</v>
      </c>
      <c r="G55" s="144">
        <f t="shared" si="6"/>
        <v>0</v>
      </c>
      <c r="H55" s="144">
        <f t="shared" si="6"/>
        <v>0</v>
      </c>
      <c r="I55" s="144">
        <f t="shared" si="6"/>
        <v>0</v>
      </c>
      <c r="J55" s="144">
        <f t="shared" si="6"/>
        <v>0</v>
      </c>
      <c r="K55" s="144">
        <f t="shared" si="6"/>
        <v>0</v>
      </c>
      <c r="L55" s="680">
        <f>SUM(D55:INDEX(D55:K55,0,MATCH('RFPR cover'!$C$7,$D$6:$K$6,0)))</f>
        <v>0</v>
      </c>
      <c r="M55" s="681">
        <f t="shared" si="5"/>
        <v>0</v>
      </c>
    </row>
    <row r="56" spans="1:14">
      <c r="B56" s="850" t="s">
        <v>504</v>
      </c>
      <c r="C56" s="155" t="str">
        <f>'RFPR cover'!$C$14</f>
        <v>£m 09/10</v>
      </c>
      <c r="D56" s="144">
        <f>D55/D41</f>
        <v>0</v>
      </c>
      <c r="E56" s="144">
        <f t="shared" ref="E56:K56" si="7">E55/E41</f>
        <v>0</v>
      </c>
      <c r="F56" s="144">
        <f t="shared" si="7"/>
        <v>0</v>
      </c>
      <c r="G56" s="144">
        <f t="shared" si="7"/>
        <v>0</v>
      </c>
      <c r="H56" s="144">
        <f t="shared" si="7"/>
        <v>0</v>
      </c>
      <c r="I56" s="144">
        <f t="shared" si="7"/>
        <v>0</v>
      </c>
      <c r="J56" s="144">
        <f t="shared" si="7"/>
        <v>0</v>
      </c>
      <c r="K56" s="144">
        <f t="shared" si="7"/>
        <v>0</v>
      </c>
      <c r="L56" s="680">
        <f>SUM(D56:INDEX(D56:K56,0,MATCH('RFPR cover'!$C$7,$D$6:$K$6,0)))</f>
        <v>0</v>
      </c>
      <c r="M56" s="681">
        <f>SUM(D56:K56)</f>
        <v>0</v>
      </c>
    </row>
    <row r="57" spans="1:14">
      <c r="B57" s="212"/>
      <c r="C57" s="64"/>
      <c r="D57" s="798"/>
      <c r="E57" s="798"/>
      <c r="F57" s="798"/>
      <c r="G57" s="798"/>
      <c r="H57" s="798"/>
      <c r="I57" s="798"/>
      <c r="J57" s="798"/>
      <c r="K57" s="798"/>
      <c r="L57" s="821"/>
      <c r="M57" s="821"/>
    </row>
    <row r="58" spans="1:14" s="2" customFormat="1">
      <c r="A58" s="1"/>
    </row>
    <row r="59" spans="1:14" s="2" customFormat="1">
      <c r="A59" s="1"/>
      <c r="B59" s="822" t="s">
        <v>423</v>
      </c>
      <c r="C59" s="79"/>
      <c r="D59" s="79"/>
      <c r="E59" s="79"/>
      <c r="F59" s="79"/>
      <c r="G59" s="79"/>
      <c r="H59" s="79"/>
      <c r="I59" s="79"/>
      <c r="J59" s="79"/>
      <c r="K59" s="79"/>
      <c r="L59" s="79"/>
      <c r="M59" s="79"/>
      <c r="N59" s="79"/>
    </row>
    <row r="60" spans="1:14" s="2" customFormat="1">
      <c r="A60" s="1"/>
      <c r="B60" s="358" t="s">
        <v>424</v>
      </c>
      <c r="D60" s="945"/>
    </row>
    <row r="61" spans="1:14" s="2" customFormat="1">
      <c r="A61" s="1"/>
    </row>
    <row r="62" spans="1:14" s="29" customFormat="1">
      <c r="B62" s="212" t="s">
        <v>112</v>
      </c>
      <c r="C62" s="154" t="s">
        <v>7</v>
      </c>
      <c r="D62" s="881">
        <f>'RFPR cover'!$C$12</f>
        <v>0.55000000000000004</v>
      </c>
      <c r="E62" s="882">
        <f>'RFPR cover'!$C$12</f>
        <v>0.55000000000000004</v>
      </c>
      <c r="F62" s="882">
        <f>'RFPR cover'!$C$12</f>
        <v>0.55000000000000004</v>
      </c>
      <c r="G62" s="882">
        <f>'RFPR cover'!$C$12</f>
        <v>0.55000000000000004</v>
      </c>
      <c r="H62" s="882">
        <f>'RFPR cover'!$C$12</f>
        <v>0.55000000000000004</v>
      </c>
      <c r="I62" s="882">
        <f>'RFPR cover'!$C$12</f>
        <v>0.55000000000000004</v>
      </c>
      <c r="J62" s="882">
        <f>'RFPR cover'!$C$12</f>
        <v>0.55000000000000004</v>
      </c>
      <c r="K62" s="883">
        <f>'RFPR cover'!$C$12</f>
        <v>0.55000000000000004</v>
      </c>
      <c r="N62" s="816"/>
    </row>
    <row r="63" spans="1:14" s="29" customFormat="1">
      <c r="B63" s="212" t="s">
        <v>386</v>
      </c>
      <c r="C63" s="154" t="s">
        <v>7</v>
      </c>
      <c r="D63" s="882">
        <f>'R8 - Net Debt'!D64</f>
        <v>0.47313338200690463</v>
      </c>
      <c r="E63" s="882">
        <f>'R8 - Net Debt'!E64</f>
        <v>0.5956097542777401</v>
      </c>
      <c r="F63" s="882">
        <f>'R8 - Net Debt'!F64</f>
        <v>0.65383583038992765</v>
      </c>
      <c r="G63" s="882">
        <f>'R8 - Net Debt'!G64</f>
        <v>0.59523831703002694</v>
      </c>
      <c r="H63" s="882">
        <f>'R8 - Net Debt'!H64</f>
        <v>0.54793326738318482</v>
      </c>
      <c r="I63" s="882">
        <f>'R8 - Net Debt'!I64</f>
        <v>0.5559049430823898</v>
      </c>
      <c r="J63" s="882">
        <f>'R8 - Net Debt'!J64</f>
        <v>0.56038136248266524</v>
      </c>
      <c r="K63" s="883">
        <f>'R8 - Net Debt'!K64</f>
        <v>0.54510894588306769</v>
      </c>
      <c r="N63" s="816"/>
    </row>
    <row r="64" spans="1:14" s="29" customFormat="1">
      <c r="B64" s="212"/>
      <c r="C64" s="154"/>
      <c r="D64" s="154"/>
      <c r="E64" s="154"/>
      <c r="F64" s="154"/>
      <c r="G64" s="154"/>
      <c r="H64" s="154"/>
      <c r="I64" s="154"/>
      <c r="J64" s="154"/>
      <c r="K64" s="154"/>
      <c r="N64" s="816"/>
    </row>
    <row r="65" spans="2:15">
      <c r="B65" s="212" t="s">
        <v>413</v>
      </c>
      <c r="C65" s="151" t="s">
        <v>125</v>
      </c>
      <c r="D65" s="94">
        <f t="shared" ref="D65:K65" si="8">D39</f>
        <v>4.5411729845713609</v>
      </c>
      <c r="E65" s="95">
        <f t="shared" si="8"/>
        <v>12.536487267106914</v>
      </c>
      <c r="F65" s="95">
        <f t="shared" si="8"/>
        <v>24.850809952200454</v>
      </c>
      <c r="G65" s="95">
        <f t="shared" si="8"/>
        <v>11.445800412073826</v>
      </c>
      <c r="H65" s="95">
        <f t="shared" si="8"/>
        <v>-10.562081809367321</v>
      </c>
      <c r="I65" s="95">
        <f t="shared" si="8"/>
        <v>-4.8484918590944375</v>
      </c>
      <c r="J65" s="95">
        <f t="shared" si="8"/>
        <v>0.43918047836015717</v>
      </c>
      <c r="K65" s="96">
        <f t="shared" si="8"/>
        <v>-1.2941901230905444</v>
      </c>
      <c r="L65" s="29"/>
      <c r="M65" s="29"/>
    </row>
    <row r="66" spans="2:15" s="29" customFormat="1">
      <c r="B66" s="212" t="s">
        <v>431</v>
      </c>
      <c r="C66" s="151" t="s">
        <v>125</v>
      </c>
      <c r="D66" s="94">
        <f>((D62-D63)/D63)*D65</f>
        <v>0.73777210046979469</v>
      </c>
      <c r="E66" s="94">
        <f t="shared" ref="E66:K66" si="9">((E62-E63)/E63)*E65</f>
        <v>-0.96000124184019398</v>
      </c>
      <c r="F66" s="94">
        <f t="shared" si="9"/>
        <v>-3.9465632920577893</v>
      </c>
      <c r="G66" s="94">
        <f t="shared" si="9"/>
        <v>-0.86988477201424563</v>
      </c>
      <c r="H66" s="94">
        <f t="shared" si="9"/>
        <v>-3.9838791101589742E-2</v>
      </c>
      <c r="I66" s="94">
        <f t="shared" si="9"/>
        <v>5.1501733919893454E-2</v>
      </c>
      <c r="J66" s="94">
        <f t="shared" si="9"/>
        <v>-8.136051707658503E-3</v>
      </c>
      <c r="K66" s="94">
        <f t="shared" si="9"/>
        <v>-1.1612273064755487E-2</v>
      </c>
      <c r="N66" s="816"/>
    </row>
    <row r="67" spans="2:15">
      <c r="B67" s="212" t="s">
        <v>430</v>
      </c>
      <c r="C67" s="151" t="s">
        <v>125</v>
      </c>
      <c r="D67" s="101">
        <f>SUM(D65:D66)</f>
        <v>5.2789450850411557</v>
      </c>
      <c r="E67" s="102">
        <f t="shared" ref="E67:K67" si="10">SUM(E65:E66)</f>
        <v>11.576486025266719</v>
      </c>
      <c r="F67" s="102">
        <f t="shared" si="10"/>
        <v>20.904246660142665</v>
      </c>
      <c r="G67" s="102">
        <f t="shared" si="10"/>
        <v>10.575915640059581</v>
      </c>
      <c r="H67" s="102">
        <f t="shared" si="10"/>
        <v>-10.60192060046891</v>
      </c>
      <c r="I67" s="102">
        <f t="shared" si="10"/>
        <v>-4.7969901251745437</v>
      </c>
      <c r="J67" s="102">
        <f t="shared" si="10"/>
        <v>0.43104442665249865</v>
      </c>
      <c r="K67" s="103">
        <f t="shared" si="10"/>
        <v>-1.3058023961552998</v>
      </c>
      <c r="L67" s="29"/>
      <c r="M67" s="29"/>
    </row>
    <row r="68" spans="2:15">
      <c r="B68" s="212"/>
      <c r="C68" s="151"/>
      <c r="D68" s="151"/>
      <c r="E68" s="151"/>
      <c r="F68" s="151"/>
      <c r="G68" s="151"/>
      <c r="H68" s="151"/>
      <c r="I68" s="151"/>
      <c r="J68" s="151"/>
      <c r="K68" s="151"/>
      <c r="L68" s="151"/>
      <c r="M68" s="151"/>
      <c r="N68" s="151"/>
      <c r="O68" s="151"/>
    </row>
    <row r="69" spans="2:15">
      <c r="B69" s="826" t="s">
        <v>430</v>
      </c>
      <c r="C69" s="155" t="str">
        <f>'RFPR cover'!$C$14</f>
        <v>£m 09/10</v>
      </c>
      <c r="D69" s="144">
        <f t="shared" ref="D69:K69" si="11">D67/D41</f>
        <v>4.5247231954653344</v>
      </c>
      <c r="E69" s="145">
        <f t="shared" si="11"/>
        <v>9.7317678556796334</v>
      </c>
      <c r="F69" s="145">
        <f t="shared" si="11"/>
        <v>17.38578588351907</v>
      </c>
      <c r="G69" s="145">
        <f t="shared" si="11"/>
        <v>8.6113301152817261</v>
      </c>
      <c r="H69" s="145">
        <f t="shared" si="11"/>
        <v>-8.3211278034883485</v>
      </c>
      <c r="I69" s="145">
        <f t="shared" si="11"/>
        <v>-3.6533813670582402</v>
      </c>
      <c r="J69" s="145">
        <f t="shared" si="11"/>
        <v>0.3199990462683634</v>
      </c>
      <c r="K69" s="146">
        <f t="shared" si="11"/>
        <v>-0.94598921264606983</v>
      </c>
      <c r="L69" s="680">
        <f>SUM(D69:INDEX(D69:K69,0,MATCH('RFPR cover'!$C$7,$D$6:$K$6,0)))</f>
        <v>28.599096925667538</v>
      </c>
      <c r="M69" s="681">
        <f>SUM(D69:K69)</f>
        <v>27.65310771302147</v>
      </c>
    </row>
    <row r="70" spans="2:15">
      <c r="B70" s="361" t="s">
        <v>505</v>
      </c>
      <c r="C70" s="158" t="str">
        <f>'RFPR cover'!$C$14</f>
        <v>£m 09/10</v>
      </c>
      <c r="D70" s="94">
        <f>D56*((D62-D63)/D63)+D56</f>
        <v>0</v>
      </c>
      <c r="E70" s="94">
        <f t="shared" ref="E70:K70" si="12">E56*((E62-E63)/E63)+E56</f>
        <v>0</v>
      </c>
      <c r="F70" s="94">
        <f t="shared" si="12"/>
        <v>0</v>
      </c>
      <c r="G70" s="94">
        <f t="shared" si="12"/>
        <v>0</v>
      </c>
      <c r="H70" s="94">
        <f t="shared" si="12"/>
        <v>0</v>
      </c>
      <c r="I70" s="94">
        <f t="shared" si="12"/>
        <v>0</v>
      </c>
      <c r="J70" s="94">
        <f t="shared" si="12"/>
        <v>0</v>
      </c>
      <c r="K70" s="94">
        <f t="shared" si="12"/>
        <v>0</v>
      </c>
      <c r="L70" s="676">
        <f>SUM(D70:INDEX(D70:K70,0,MATCH('RFPR cover'!$C$7,$D$6:$K$6,0)))</f>
        <v>0</v>
      </c>
      <c r="M70" s="677">
        <f>SUM(D70:K70)</f>
        <v>0</v>
      </c>
      <c r="N70" s="154"/>
    </row>
    <row r="72" spans="2:15">
      <c r="B72" s="818" t="s">
        <v>313</v>
      </c>
      <c r="C72" s="819"/>
      <c r="D72" s="819"/>
      <c r="E72" s="819"/>
      <c r="F72" s="819"/>
      <c r="G72" s="819"/>
      <c r="H72" s="819"/>
      <c r="I72" s="819"/>
      <c r="J72" s="819"/>
      <c r="K72" s="819"/>
      <c r="L72" s="819"/>
      <c r="M72" s="819"/>
      <c r="N72" s="819"/>
      <c r="O72" s="154"/>
    </row>
    <row r="73" spans="2:15" s="29" customFormat="1">
      <c r="B73" s="820"/>
      <c r="C73" s="64"/>
      <c r="D73" s="64"/>
      <c r="E73" s="64"/>
      <c r="F73" s="64"/>
      <c r="G73" s="64"/>
      <c r="H73" s="64"/>
      <c r="I73" s="64"/>
      <c r="J73" s="64"/>
      <c r="K73" s="64"/>
      <c r="L73" s="64"/>
      <c r="M73" s="64"/>
      <c r="N73" s="64"/>
      <c r="O73" s="64"/>
    </row>
    <row r="74" spans="2:15">
      <c r="B74" s="358" t="s">
        <v>460</v>
      </c>
      <c r="C74" s="357"/>
      <c r="D74" s="946"/>
      <c r="E74" s="357"/>
      <c r="F74" s="357"/>
      <c r="G74" s="357"/>
      <c r="H74" s="357"/>
      <c r="I74" s="357"/>
      <c r="J74" s="357"/>
      <c r="K74" s="357"/>
      <c r="L74" s="357"/>
      <c r="M74" s="357"/>
      <c r="N74" s="357"/>
      <c r="O74" s="154"/>
    </row>
    <row r="75" spans="2:15">
      <c r="B75" s="358" t="s">
        <v>342</v>
      </c>
      <c r="C75" s="357"/>
      <c r="D75" s="357"/>
      <c r="E75" s="357"/>
      <c r="F75" s="357"/>
      <c r="G75" s="357"/>
      <c r="H75" s="357"/>
      <c r="I75" s="357"/>
      <c r="J75" s="357"/>
      <c r="K75" s="357"/>
      <c r="L75" s="357"/>
      <c r="M75" s="357"/>
      <c r="N75" s="357"/>
      <c r="O75" s="154"/>
    </row>
    <row r="76" spans="2:15">
      <c r="B76" s="358" t="s">
        <v>343</v>
      </c>
      <c r="C76" s="357"/>
      <c r="D76" s="357"/>
      <c r="E76" s="357"/>
      <c r="F76" s="357"/>
      <c r="G76" s="357"/>
      <c r="H76" s="357"/>
      <c r="I76" s="357"/>
      <c r="J76" s="357"/>
      <c r="K76" s="357"/>
      <c r="L76" s="357"/>
      <c r="M76" s="357"/>
      <c r="N76" s="357"/>
      <c r="O76" s="154"/>
    </row>
    <row r="77" spans="2:15">
      <c r="B77" s="358" t="s">
        <v>510</v>
      </c>
      <c r="C77" s="357"/>
      <c r="D77" s="357"/>
      <c r="E77" s="357"/>
      <c r="F77" s="357"/>
      <c r="G77" s="357"/>
      <c r="H77" s="357"/>
      <c r="I77" s="357"/>
      <c r="J77" s="357"/>
      <c r="K77" s="357"/>
      <c r="L77" s="357"/>
      <c r="M77" s="357"/>
      <c r="N77" s="357"/>
      <c r="O77" s="154"/>
    </row>
    <row r="78" spans="2:15" s="29" customFormat="1">
      <c r="B78" s="362"/>
      <c r="C78" s="362"/>
      <c r="D78" s="362"/>
      <c r="E78" s="362"/>
      <c r="F78" s="362"/>
      <c r="G78" s="362"/>
      <c r="H78" s="362"/>
      <c r="I78" s="362"/>
      <c r="J78" s="362"/>
      <c r="K78" s="362"/>
      <c r="L78" s="362"/>
      <c r="M78" s="362"/>
      <c r="N78" s="362"/>
      <c r="O78" s="64"/>
    </row>
    <row r="79" spans="2:15">
      <c r="B79" s="361" t="s">
        <v>229</v>
      </c>
      <c r="C79" s="154" t="str">
        <f>'RFPR cover'!$C$14</f>
        <v>£m 09/10</v>
      </c>
      <c r="D79" s="587">
        <v>18.111307332892292</v>
      </c>
      <c r="E79" s="587">
        <v>19.189008972845816</v>
      </c>
      <c r="F79" s="587">
        <v>20.484854710554419</v>
      </c>
      <c r="G79" s="587">
        <v>21.620659192507102</v>
      </c>
      <c r="H79" s="587">
        <v>21.099287410200471</v>
      </c>
      <c r="I79" s="587">
        <v>18.65757174333422</v>
      </c>
      <c r="J79" s="890">
        <v>15.672423124879964</v>
      </c>
      <c r="K79" s="893">
        <v>10.816523362233154</v>
      </c>
      <c r="L79" s="891"/>
      <c r="M79" s="891"/>
      <c r="O79" s="64"/>
    </row>
    <row r="80" spans="2:15">
      <c r="B80" s="361" t="s">
        <v>312</v>
      </c>
      <c r="C80" s="154" t="str">
        <f>'RFPR cover'!$C$14</f>
        <v>£m 09/10</v>
      </c>
      <c r="D80" s="678">
        <f>'R9 - RAV'!D49</f>
        <v>17.843168848357539</v>
      </c>
      <c r="E80" s="679">
        <f>'R9 - RAV'!E49</f>
        <v>18.300822715955228</v>
      </c>
      <c r="F80" s="679">
        <f>'R9 - RAV'!F49</f>
        <v>19.383096067174577</v>
      </c>
      <c r="G80" s="679">
        <f>'R9 - RAV'!G49</f>
        <v>20.680858758330523</v>
      </c>
      <c r="H80" s="679">
        <f>'R9 - RAV'!H49</f>
        <v>21.010086154747196</v>
      </c>
      <c r="I80" s="679">
        <f>'R9 - RAV'!I49</f>
        <v>18.466582834695792</v>
      </c>
      <c r="J80" s="679">
        <f>'R9 - RAV'!J49</f>
        <v>15.392211251325548</v>
      </c>
      <c r="K80" s="892">
        <f>'R9 - RAV'!K49</f>
        <v>10.910461081893173</v>
      </c>
      <c r="L80" s="894">
        <f>SUM(D80:INDEX(D80:K80,0,MATCH('RFPR cover'!$C$7,$D$6:$K$6,0)))</f>
        <v>131.07682663058642</v>
      </c>
      <c r="M80" s="894">
        <f>SUM(D80:K80)</f>
        <v>141.9872877124796</v>
      </c>
      <c r="O80" s="64"/>
    </row>
    <row r="81" spans="2:15" s="29" customFormat="1">
      <c r="B81" s="823"/>
      <c r="C81" s="64"/>
      <c r="D81" s="824"/>
      <c r="E81" s="824"/>
      <c r="F81" s="824"/>
      <c r="G81" s="824"/>
      <c r="H81" s="824"/>
      <c r="I81" s="824"/>
      <c r="J81" s="824"/>
      <c r="K81" s="824"/>
      <c r="L81" s="821"/>
      <c r="M81" s="821"/>
      <c r="O81" s="64"/>
    </row>
    <row r="82" spans="2:15" s="29" customFormat="1">
      <c r="B82" s="823"/>
      <c r="C82" s="64"/>
      <c r="D82" s="824"/>
      <c r="E82" s="825"/>
      <c r="F82" s="825"/>
      <c r="G82" s="825"/>
      <c r="H82" s="825"/>
      <c r="I82" s="825"/>
      <c r="J82" s="825"/>
      <c r="K82" s="825"/>
      <c r="L82" s="821"/>
      <c r="M82" s="821"/>
      <c r="O82" s="64"/>
    </row>
    <row r="83" spans="2:15">
      <c r="B83" s="827" t="s">
        <v>414</v>
      </c>
      <c r="C83" s="819"/>
      <c r="D83" s="819"/>
      <c r="E83" s="819"/>
      <c r="F83" s="819"/>
      <c r="G83" s="819"/>
      <c r="H83" s="819"/>
      <c r="I83" s="819"/>
      <c r="J83" s="819"/>
      <c r="K83" s="819"/>
      <c r="L83" s="819"/>
      <c r="M83" s="819"/>
      <c r="N83" s="819"/>
    </row>
    <row r="84" spans="2:15">
      <c r="B84" s="361"/>
      <c r="C84" s="154"/>
      <c r="D84" s="154"/>
      <c r="E84" s="154"/>
      <c r="F84" s="154"/>
      <c r="G84" s="154"/>
      <c r="H84" s="154"/>
      <c r="I84" s="154"/>
      <c r="J84" s="154"/>
      <c r="K84" s="154"/>
      <c r="L84" s="154"/>
      <c r="M84" s="154"/>
      <c r="N84" s="154"/>
    </row>
    <row r="85" spans="2:15">
      <c r="B85" s="845" t="s">
        <v>468</v>
      </c>
      <c r="C85" s="154"/>
      <c r="D85" s="154"/>
      <c r="E85" s="154"/>
      <c r="F85" s="154"/>
      <c r="G85" s="154"/>
      <c r="H85" s="154"/>
      <c r="I85" s="154"/>
      <c r="J85" s="154"/>
      <c r="K85" s="154"/>
      <c r="L85" s="154"/>
      <c r="M85" s="154"/>
      <c r="N85" s="154"/>
    </row>
    <row r="86" spans="2:15">
      <c r="B86" s="212" t="s">
        <v>469</v>
      </c>
      <c r="C86" s="154" t="str">
        <f>'RFPR cover'!$C$14</f>
        <v>£m 09/10</v>
      </c>
      <c r="D86" s="144">
        <f>D80-D43-D56</f>
        <v>13.950809597238262</v>
      </c>
      <c r="E86" s="144">
        <f t="shared" ref="E86:K86" si="13">E80-E43-E56</f>
        <v>7.7620302410291266</v>
      </c>
      <c r="F86" s="144">
        <f t="shared" si="13"/>
        <v>-1.2849943876111887</v>
      </c>
      <c r="G86" s="144">
        <f t="shared" si="13"/>
        <v>11.361233948857281</v>
      </c>
      <c r="H86" s="144">
        <f t="shared" si="13"/>
        <v>29.299945692344352</v>
      </c>
      <c r="I86" s="144">
        <f t="shared" si="13"/>
        <v>22.159187854537201</v>
      </c>
      <c r="J86" s="144">
        <f t="shared" si="13"/>
        <v>15.066172157614606</v>
      </c>
      <c r="K86" s="144">
        <f t="shared" si="13"/>
        <v>11.848037777388177</v>
      </c>
      <c r="L86" s="680">
        <f>SUM(D86:INDEX(D86:K86,0,MATCH('RFPR cover'!$C$7,$D$6:$K$6,0)))</f>
        <v>98.314385104009631</v>
      </c>
      <c r="M86" s="681">
        <f>SUM(D86:K86)</f>
        <v>110.1624228813978</v>
      </c>
    </row>
    <row r="87" spans="2:15">
      <c r="B87" s="212"/>
    </row>
    <row r="88" spans="2:15">
      <c r="B88" s="212" t="s">
        <v>470</v>
      </c>
      <c r="C88" s="154" t="str">
        <f>'RFPR cover'!$C$14</f>
        <v>£m 09/10</v>
      </c>
      <c r="D88" s="144">
        <f>D80-D69-D70</f>
        <v>13.318445652892205</v>
      </c>
      <c r="E88" s="144">
        <f t="shared" ref="E88:K88" si="14">E80-E69-E70</f>
        <v>8.5690548602755943</v>
      </c>
      <c r="F88" s="144">
        <f t="shared" si="14"/>
        <v>1.9973101836555074</v>
      </c>
      <c r="G88" s="144">
        <f t="shared" si="14"/>
        <v>12.069528643048796</v>
      </c>
      <c r="H88" s="144">
        <f t="shared" si="14"/>
        <v>29.331213958235544</v>
      </c>
      <c r="I88" s="144">
        <f t="shared" si="14"/>
        <v>22.119964201754033</v>
      </c>
      <c r="J88" s="144">
        <f t="shared" si="14"/>
        <v>15.072212205057186</v>
      </c>
      <c r="K88" s="144">
        <f t="shared" si="14"/>
        <v>11.856450294539243</v>
      </c>
      <c r="L88" s="680">
        <f>SUM(D88:INDEX(D88:K88,0,MATCH('RFPR cover'!$C$7,$D$6:$K$6,0)))</f>
        <v>102.47772970491887</v>
      </c>
      <c r="M88" s="681">
        <f>SUM(D88:K88)</f>
        <v>114.33417999945812</v>
      </c>
    </row>
    <row r="89" spans="2:15">
      <c r="B89" s="212"/>
    </row>
    <row r="90" spans="2:15">
      <c r="B90" s="212" t="s">
        <v>471</v>
      </c>
      <c r="C90" s="154" t="str">
        <f>'RFPR cover'!$C$14</f>
        <v>£m 09/10</v>
      </c>
      <c r="D90" s="144">
        <f t="shared" ref="D90:K90" si="15">D86-D88</f>
        <v>0.63236394434605714</v>
      </c>
      <c r="E90" s="144">
        <f t="shared" si="15"/>
        <v>-0.80702461924646762</v>
      </c>
      <c r="F90" s="144">
        <f t="shared" si="15"/>
        <v>-3.2823045712666961</v>
      </c>
      <c r="G90" s="144">
        <f t="shared" si="15"/>
        <v>-0.70829469419151536</v>
      </c>
      <c r="H90" s="144">
        <f t="shared" si="15"/>
        <v>-3.126826589119247E-2</v>
      </c>
      <c r="I90" s="144">
        <f t="shared" si="15"/>
        <v>3.9223652783167751E-2</v>
      </c>
      <c r="J90" s="144">
        <f t="shared" si="15"/>
        <v>-6.040047442580132E-3</v>
      </c>
      <c r="K90" s="144">
        <f t="shared" si="15"/>
        <v>-8.4125171510667229E-3</v>
      </c>
      <c r="L90" s="680">
        <f>SUM(D90:INDEX(D90:K90,0,MATCH('RFPR cover'!$C$7,$D$6:$K$6,0)))</f>
        <v>-4.1633446009092268</v>
      </c>
      <c r="M90" s="681">
        <f>SUM(D90:K90)</f>
        <v>-4.1717571180602935</v>
      </c>
    </row>
    <row r="91" spans="2:15">
      <c r="B91" s="199"/>
    </row>
    <row r="92" spans="2:15">
      <c r="B92" s="14" t="s">
        <v>557</v>
      </c>
    </row>
    <row r="93" spans="2:15">
      <c r="B93" s="827" t="s">
        <v>414</v>
      </c>
      <c r="C93" s="819"/>
      <c r="D93" s="819"/>
      <c r="E93" s="819"/>
      <c r="F93" s="819"/>
      <c r="G93" s="819"/>
      <c r="H93" s="819"/>
      <c r="I93" s="819"/>
      <c r="J93" s="819"/>
      <c r="K93" s="819"/>
      <c r="L93" s="819"/>
      <c r="M93" s="819"/>
      <c r="N93" s="819"/>
    </row>
    <row r="94" spans="2:15">
      <c r="B94" s="361"/>
      <c r="C94" s="154"/>
      <c r="D94" s="154"/>
      <c r="E94" s="154"/>
      <c r="F94" s="154"/>
      <c r="G94" s="154"/>
      <c r="H94" s="154"/>
      <c r="I94" s="154"/>
      <c r="J94" s="154"/>
      <c r="K94" s="154"/>
      <c r="L94" s="154"/>
      <c r="M94" s="154"/>
      <c r="N94" s="154"/>
    </row>
    <row r="95" spans="2:15">
      <c r="B95" s="845" t="s">
        <v>468</v>
      </c>
      <c r="C95" s="154"/>
      <c r="D95" s="154"/>
      <c r="E95" s="154"/>
      <c r="F95" s="154"/>
      <c r="G95" s="154"/>
      <c r="H95" s="154"/>
      <c r="I95" s="154"/>
      <c r="J95" s="154"/>
      <c r="K95" s="154"/>
      <c r="L95" s="154"/>
      <c r="M95" s="154"/>
      <c r="N95" s="154"/>
    </row>
    <row r="96" spans="2:15">
      <c r="B96" s="212" t="s">
        <v>469</v>
      </c>
      <c r="C96" s="154" t="str">
        <f>'RFPR cover'!$C$14</f>
        <v>£m 09/10</v>
      </c>
      <c r="D96" s="144">
        <f t="shared" ref="D96:K96" si="16">D80-D56-(D30/D41)</f>
        <v>-1.6136004270255064</v>
      </c>
      <c r="E96" s="144">
        <f t="shared" si="16"/>
        <v>-6.8504572628282183</v>
      </c>
      <c r="F96" s="144">
        <f t="shared" si="16"/>
        <v>-11.257413424137091</v>
      </c>
      <c r="G96" s="144">
        <f t="shared" si="16"/>
        <v>-9.3301765123433853</v>
      </c>
      <c r="H96" s="144">
        <f t="shared" si="16"/>
        <v>-6.7030577075645965</v>
      </c>
      <c r="I96" s="144">
        <f t="shared" si="16"/>
        <v>-8.2655309778333326</v>
      </c>
      <c r="J96" s="144">
        <f t="shared" si="16"/>
        <v>-11.107814775914179</v>
      </c>
      <c r="K96" s="144">
        <f t="shared" si="16"/>
        <v>-13.154107319287219</v>
      </c>
      <c r="L96" s="680">
        <f>SUM(D96:INDEX(D96:K96,0,MATCH('RFPR cover'!$C$7,$D$6:$K$6,0)))</f>
        <v>-55.128051087646313</v>
      </c>
      <c r="M96" s="681">
        <f>SUM(D96:K96)</f>
        <v>-68.282158406933533</v>
      </c>
    </row>
    <row r="97" spans="2:13">
      <c r="B97" s="212"/>
    </row>
    <row r="98" spans="2:13">
      <c r="B98" s="212" t="s">
        <v>470</v>
      </c>
      <c r="C98" s="154" t="str">
        <f>'RFPR cover'!$C$14</f>
        <v>£m 09/10</v>
      </c>
      <c r="D98" s="144">
        <f t="shared" ref="D98:K98" si="17">D80-D107</f>
        <v>-4.7746034510075255</v>
      </c>
      <c r="E98" s="144">
        <f t="shared" si="17"/>
        <v>-4.9244584164963143</v>
      </c>
      <c r="F98" s="144">
        <f t="shared" si="17"/>
        <v>-6.3913865122998992</v>
      </c>
      <c r="G98" s="144">
        <f t="shared" si="17"/>
        <v>-7.0493274992151207</v>
      </c>
      <c r="H98" s="144">
        <f t="shared" si="17"/>
        <v>-6.8075880614309874</v>
      </c>
      <c r="I98" s="144">
        <f t="shared" si="17"/>
        <v>-7.9815766570465918</v>
      </c>
      <c r="J98" s="144">
        <f t="shared" si="17"/>
        <v>-10.616887713725621</v>
      </c>
      <c r="K98" s="144">
        <f t="shared" si="17"/>
        <v>-13.370029489047466</v>
      </c>
      <c r="L98" s="680">
        <f>SUM(D98:INDEX(D98:K98,0,MATCH('RFPR cover'!$C$7,$D$6:$K$6,0)))</f>
        <v>-48.545828311222053</v>
      </c>
      <c r="M98" s="681">
        <f>SUM(D98:K98)</f>
        <v>-61.915857800269521</v>
      </c>
    </row>
    <row r="99" spans="2:13">
      <c r="B99" s="212"/>
    </row>
    <row r="100" spans="2:13">
      <c r="B100" s="212" t="s">
        <v>471</v>
      </c>
      <c r="C100" s="154" t="str">
        <f>'RFPR cover'!$C$14</f>
        <v>£m 09/10</v>
      </c>
      <c r="D100" s="144">
        <f>D96-D98</f>
        <v>3.161003023982019</v>
      </c>
      <c r="E100" s="144">
        <f t="shared" ref="E100:K100" si="18">E96-E98</f>
        <v>-1.925998846331904</v>
      </c>
      <c r="F100" s="144">
        <f t="shared" si="18"/>
        <v>-4.8660269118371922</v>
      </c>
      <c r="G100" s="144">
        <f t="shared" si="18"/>
        <v>-2.2808490131282646</v>
      </c>
      <c r="H100" s="144">
        <f t="shared" si="18"/>
        <v>0.10453035386639087</v>
      </c>
      <c r="I100" s="144">
        <f t="shared" si="18"/>
        <v>-0.28395432078674077</v>
      </c>
      <c r="J100" s="144">
        <f t="shared" si="18"/>
        <v>-0.49092706218855753</v>
      </c>
      <c r="K100" s="144">
        <f t="shared" si="18"/>
        <v>0.21592216976024758</v>
      </c>
      <c r="L100" s="680">
        <f>SUM(D100:INDEX(D100:K100,0,MATCH('RFPR cover'!$C$7,$D$6:$K$6,0)))</f>
        <v>-6.5822227764242491</v>
      </c>
      <c r="M100" s="681">
        <f>SUM(D100:K100)</f>
        <v>-6.3663006066640015</v>
      </c>
    </row>
    <row r="101" spans="2:13">
      <c r="B101" s="199"/>
    </row>
    <row r="104" spans="2:13">
      <c r="B104" s="212" t="s">
        <v>413</v>
      </c>
      <c r="C104" s="151" t="s">
        <v>125</v>
      </c>
      <c r="D104" s="94">
        <f t="shared" ref="D104:K104" si="19">D30</f>
        <v>22.700000000000003</v>
      </c>
      <c r="E104" s="95">
        <f t="shared" si="19"/>
        <v>29.918864230000001</v>
      </c>
      <c r="F104" s="95">
        <f t="shared" si="19"/>
        <v>36.84140438</v>
      </c>
      <c r="G104" s="95">
        <f t="shared" si="19"/>
        <v>36.857741260000005</v>
      </c>
      <c r="H104" s="95">
        <f t="shared" si="19"/>
        <v>35.309222230000003</v>
      </c>
      <c r="I104" s="95">
        <f t="shared" si="19"/>
        <v>35.1</v>
      </c>
      <c r="J104" s="95">
        <f t="shared" si="19"/>
        <v>35.696008029999994</v>
      </c>
      <c r="K104" s="96">
        <f t="shared" si="19"/>
        <v>33.217684367465623</v>
      </c>
    </row>
    <row r="105" spans="2:13">
      <c r="B105" s="212" t="s">
        <v>431</v>
      </c>
      <c r="C105" s="151" t="s">
        <v>125</v>
      </c>
      <c r="D105" s="94">
        <f t="shared" ref="D105:K105" si="20">((D62-D63)/D63)*D104</f>
        <v>3.6879076700147158</v>
      </c>
      <c r="E105" s="94">
        <f t="shared" si="20"/>
        <v>-2.2910841133791111</v>
      </c>
      <c r="F105" s="94">
        <f t="shared" si="20"/>
        <v>-5.8507925670684493</v>
      </c>
      <c r="G105" s="94">
        <f t="shared" si="20"/>
        <v>-2.8012010255826185</v>
      </c>
      <c r="H105" s="94">
        <f t="shared" si="20"/>
        <v>0.13318176792883979</v>
      </c>
      <c r="I105" s="94">
        <f t="shared" si="20"/>
        <v>-0.3728398258929716</v>
      </c>
      <c r="J105" s="94">
        <f t="shared" si="20"/>
        <v>-0.66128751481277293</v>
      </c>
      <c r="K105" s="94">
        <f t="shared" si="20"/>
        <v>0.2980495790933213</v>
      </c>
    </row>
    <row r="106" spans="2:13">
      <c r="B106" s="212" t="s">
        <v>430</v>
      </c>
      <c r="C106" s="151" t="s">
        <v>125</v>
      </c>
      <c r="D106" s="101">
        <f>SUM(D104:D105)</f>
        <v>26.387907670014719</v>
      </c>
      <c r="E106" s="102">
        <f t="shared" ref="E106:K106" si="21">SUM(E104:E105)</f>
        <v>27.62778011662089</v>
      </c>
      <c r="F106" s="102">
        <f t="shared" si="21"/>
        <v>30.990611812931551</v>
      </c>
      <c r="G106" s="102">
        <f t="shared" si="21"/>
        <v>34.056540234417383</v>
      </c>
      <c r="H106" s="102">
        <f t="shared" si="21"/>
        <v>35.442403997928842</v>
      </c>
      <c r="I106" s="102">
        <f t="shared" si="21"/>
        <v>34.727160174107027</v>
      </c>
      <c r="J106" s="102">
        <f t="shared" si="21"/>
        <v>35.034720515187225</v>
      </c>
      <c r="K106" s="103">
        <f t="shared" si="21"/>
        <v>33.515733946558946</v>
      </c>
    </row>
    <row r="107" spans="2:13">
      <c r="B107" s="212" t="s">
        <v>430</v>
      </c>
      <c r="C107" s="154" t="str">
        <f>'RFPR cover'!$C$14</f>
        <v>£m 09/10</v>
      </c>
      <c r="D107" s="101">
        <f t="shared" ref="D107:K107" si="22">D106/D41</f>
        <v>22.617772299365065</v>
      </c>
      <c r="E107" s="102">
        <f t="shared" si="22"/>
        <v>23.225281132451542</v>
      </c>
      <c r="F107" s="102">
        <f t="shared" si="22"/>
        <v>25.774482579474476</v>
      </c>
      <c r="G107" s="102">
        <f t="shared" si="22"/>
        <v>27.730186257545643</v>
      </c>
      <c r="H107" s="102">
        <f t="shared" si="22"/>
        <v>27.817674216178183</v>
      </c>
      <c r="I107" s="102">
        <f t="shared" si="22"/>
        <v>26.448159491742384</v>
      </c>
      <c r="J107" s="102">
        <f t="shared" si="22"/>
        <v>26.009098965051169</v>
      </c>
      <c r="K107" s="103">
        <f t="shared" si="22"/>
        <v>24.280490570940639</v>
      </c>
    </row>
  </sheetData>
  <conditionalFormatting sqref="D6:K6">
    <cfRule type="expression" dxfId="41" priority="22">
      <formula>AND(D$5="Actuals",E$5="Forecast")</formula>
    </cfRule>
  </conditionalFormatting>
  <conditionalFormatting sqref="D5:K5">
    <cfRule type="expression" dxfId="40" priority="15">
      <formula>AND(D$5="Actuals",E$5="Forecast")</formula>
    </cfRule>
  </conditionalFormatting>
  <conditionalFormatting sqref="D29:G29 I29:K29">
    <cfRule type="expression" dxfId="39" priority="13">
      <formula>D$5="Forecast"</formula>
    </cfRule>
    <cfRule type="expression" dxfId="38" priority="14">
      <formula>D$5="Actuals"</formula>
    </cfRule>
  </conditionalFormatting>
  <conditionalFormatting sqref="D47:G47">
    <cfRule type="expression" dxfId="37" priority="7">
      <formula>D$5="Forecast"</formula>
    </cfRule>
    <cfRule type="expression" dxfId="36" priority="8">
      <formula>D$5="Actuals"</formula>
    </cfRule>
  </conditionalFormatting>
  <conditionalFormatting sqref="I47:K47">
    <cfRule type="expression" dxfId="35" priority="5">
      <formula>I$5="Forecast"</formula>
    </cfRule>
    <cfRule type="expression" dxfId="34" priority="6">
      <formula>I$5="Actuals"</formula>
    </cfRule>
  </conditionalFormatting>
  <conditionalFormatting sqref="H47">
    <cfRule type="expression" dxfId="33" priority="3">
      <formula>H$5="Forecast"</formula>
    </cfRule>
    <cfRule type="expression" dxfId="32" priority="4">
      <formula>H$5="Actuals"</formula>
    </cfRule>
  </conditionalFormatting>
  <conditionalFormatting sqref="H29">
    <cfRule type="expression" dxfId="31" priority="1">
      <formula>H$5="Forecast"</formula>
    </cfRule>
    <cfRule type="expression" dxfId="30"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activeCell="A7" sqref="A7"/>
    </sheetView>
  </sheetViews>
  <sheetFormatPr defaultRowHeight="12.75"/>
  <cols>
    <col min="1" max="1" width="8.375" customWidth="1"/>
    <col min="2" max="2" width="85.75" bestFit="1" customWidth="1"/>
    <col min="3" max="3" width="14.125" customWidth="1"/>
    <col min="4" max="11" width="11.125" customWidth="1"/>
    <col min="12" max="12" width="5" customWidth="1"/>
    <col min="13" max="13" width="12.875" customWidth="1"/>
  </cols>
  <sheetData>
    <row r="1" spans="1:12" s="29" customFormat="1" ht="20.25">
      <c r="A1" s="900" t="s">
        <v>233</v>
      </c>
      <c r="B1" s="909"/>
      <c r="C1" s="255"/>
      <c r="D1" s="255"/>
      <c r="E1" s="255"/>
      <c r="F1" s="255"/>
      <c r="G1" s="255"/>
      <c r="H1" s="255"/>
      <c r="I1" s="256"/>
      <c r="J1" s="256"/>
      <c r="K1" s="257"/>
      <c r="L1" s="354"/>
    </row>
    <row r="2" spans="1:12" s="29" customFormat="1" ht="20.25">
      <c r="A2" s="902" t="str">
        <f>'RFPR cover'!C5</f>
        <v>SPT</v>
      </c>
      <c r="B2" s="895"/>
      <c r="C2" s="27"/>
      <c r="D2" s="27"/>
      <c r="E2" s="27"/>
      <c r="F2" s="27"/>
      <c r="G2" s="27"/>
      <c r="H2" s="27"/>
      <c r="I2" s="25"/>
      <c r="J2" s="25"/>
      <c r="K2" s="25"/>
      <c r="L2" s="122"/>
    </row>
    <row r="3" spans="1:12" s="29" customFormat="1" ht="23.25">
      <c r="A3" s="905">
        <f>'RFPR cover'!C7</f>
        <v>2020</v>
      </c>
      <c r="B3" s="911" t="str">
        <f>'R1 - RoRE'!B3</f>
        <v/>
      </c>
      <c r="C3" s="259"/>
      <c r="D3" s="259"/>
      <c r="E3" s="259"/>
      <c r="F3" s="259"/>
      <c r="G3" s="259"/>
      <c r="H3" s="259"/>
      <c r="I3" s="254"/>
      <c r="J3" s="254"/>
      <c r="K3" s="254"/>
      <c r="L3" s="260"/>
    </row>
    <row r="4" spans="1:12" s="29" customFormat="1" ht="12.75" customHeight="1">
      <c r="A4" s="37"/>
      <c r="B4" s="37"/>
      <c r="C4" s="37"/>
      <c r="D4" s="37"/>
      <c r="E4" s="37"/>
      <c r="F4" s="37"/>
      <c r="G4" s="37"/>
      <c r="H4" s="37"/>
      <c r="I4" s="32"/>
      <c r="J4" s="32"/>
      <c r="K4" s="32"/>
      <c r="L4" s="31"/>
    </row>
    <row r="5" spans="1:12" s="2" customFormat="1">
      <c r="B5" s="3"/>
      <c r="C5" s="3"/>
      <c r="D5" s="379" t="str">
        <f>IF(D6&lt;='RFPR cover'!$C$7,"Actuals","Forecast")</f>
        <v>Actuals</v>
      </c>
      <c r="E5" s="380" t="str">
        <f>IF(E6&lt;='RFPR cover'!$C$7,"Actuals","Forecast")</f>
        <v>Actuals</v>
      </c>
      <c r="F5" s="380" t="str">
        <f>IF(F6&lt;='RFPR cover'!$C$7,"Actuals","Forecast")</f>
        <v>Actuals</v>
      </c>
      <c r="G5" s="380" t="str">
        <f>IF(G6&lt;='RFPR cover'!$C$7,"Actuals","Forecast")</f>
        <v>Actuals</v>
      </c>
      <c r="H5" s="380" t="str">
        <f>IF(H6&lt;='RFPR cover'!$C$7,"Actuals","Forecast")</f>
        <v>Actuals</v>
      </c>
      <c r="I5" s="380" t="str">
        <f>IF(I6&lt;='RFPR cover'!$C$7,"Actuals","Forecast")</f>
        <v>Actuals</v>
      </c>
      <c r="J5" s="380" t="str">
        <f>IF(J6&lt;='RFPR cover'!$C$7,"Actuals","Forecast")</f>
        <v>Actuals</v>
      </c>
      <c r="K5" s="381" t="str">
        <f>IF(K6&lt;='RFPR cover'!$C$7,"Actuals","Forecast")</f>
        <v>Forecast</v>
      </c>
    </row>
    <row r="6" spans="1:12" s="2" customFormat="1">
      <c r="D6" s="116">
        <f>'RFPR cover'!$C$13</f>
        <v>2014</v>
      </c>
      <c r="E6" s="117">
        <f>D6+1</f>
        <v>2015</v>
      </c>
      <c r="F6" s="117">
        <f t="shared" ref="F6:K6" si="0">E6+1</f>
        <v>2016</v>
      </c>
      <c r="G6" s="117">
        <f t="shared" si="0"/>
        <v>2017</v>
      </c>
      <c r="H6" s="117">
        <f t="shared" si="0"/>
        <v>2018</v>
      </c>
      <c r="I6" s="117">
        <f t="shared" si="0"/>
        <v>2019</v>
      </c>
      <c r="J6" s="117">
        <f t="shared" si="0"/>
        <v>2020</v>
      </c>
      <c r="K6" s="194">
        <f t="shared" si="0"/>
        <v>2021</v>
      </c>
    </row>
    <row r="7" spans="1:12" s="2" customFormat="1"/>
    <row r="8" spans="1:12" s="2" customFormat="1">
      <c r="B8" s="212" t="s">
        <v>501</v>
      </c>
      <c r="C8" s="151" t="s">
        <v>125</v>
      </c>
      <c r="D8" s="874">
        <v>0</v>
      </c>
      <c r="E8" s="688">
        <f>D10</f>
        <v>0</v>
      </c>
      <c r="F8" s="688">
        <f t="shared" ref="F8:K8" si="1">E10</f>
        <v>0</v>
      </c>
      <c r="G8" s="688">
        <f t="shared" si="1"/>
        <v>0</v>
      </c>
      <c r="H8" s="688">
        <f t="shared" si="1"/>
        <v>0</v>
      </c>
      <c r="I8" s="688">
        <f t="shared" si="1"/>
        <v>0</v>
      </c>
      <c r="J8" s="688">
        <f t="shared" si="1"/>
        <v>0</v>
      </c>
      <c r="K8" s="688">
        <f t="shared" si="1"/>
        <v>0</v>
      </c>
    </row>
    <row r="9" spans="1:12" s="2" customFormat="1">
      <c r="B9" s="212"/>
    </row>
    <row r="10" spans="1:12">
      <c r="B10" s="212" t="s">
        <v>502</v>
      </c>
      <c r="C10" s="151" t="s">
        <v>125</v>
      </c>
      <c r="D10" s="682">
        <v>0</v>
      </c>
      <c r="E10" s="683">
        <v>0</v>
      </c>
      <c r="F10" s="683">
        <v>0</v>
      </c>
      <c r="G10" s="683">
        <v>0</v>
      </c>
      <c r="H10" s="683">
        <v>0</v>
      </c>
      <c r="I10" s="683">
        <v>0</v>
      </c>
      <c r="J10" s="683">
        <v>0</v>
      </c>
      <c r="K10" s="684">
        <v>0</v>
      </c>
    </row>
    <row r="11" spans="1:12">
      <c r="B11" s="212" t="s">
        <v>351</v>
      </c>
      <c r="C11" s="151" t="s">
        <v>125</v>
      </c>
      <c r="D11" s="685">
        <v>0</v>
      </c>
      <c r="E11" s="686">
        <v>0</v>
      </c>
      <c r="F11" s="686">
        <v>0</v>
      </c>
      <c r="G11" s="686">
        <v>0</v>
      </c>
      <c r="H11" s="686">
        <v>0</v>
      </c>
      <c r="I11" s="686">
        <v>0</v>
      </c>
      <c r="J11" s="686">
        <v>346.7</v>
      </c>
      <c r="K11" s="687">
        <v>347</v>
      </c>
    </row>
    <row r="12" spans="1:12">
      <c r="B12" s="212" t="s">
        <v>352</v>
      </c>
      <c r="C12" s="151" t="s">
        <v>125</v>
      </c>
      <c r="D12" s="685">
        <v>765</v>
      </c>
      <c r="E12" s="686">
        <v>1063</v>
      </c>
      <c r="F12" s="686">
        <v>1183.4000000000001</v>
      </c>
      <c r="G12" s="686">
        <v>1188.5</v>
      </c>
      <c r="H12" s="686">
        <v>1303</v>
      </c>
      <c r="I12" s="686">
        <v>1351.6</v>
      </c>
      <c r="J12" s="686">
        <v>1025.5999999999999</v>
      </c>
      <c r="K12" s="687">
        <v>850</v>
      </c>
    </row>
    <row r="13" spans="1:12">
      <c r="B13" s="212" t="s">
        <v>353</v>
      </c>
      <c r="C13" s="151" t="s">
        <v>125</v>
      </c>
      <c r="D13" s="685">
        <v>-33.200000000000003</v>
      </c>
      <c r="E13" s="686">
        <v>-21.1</v>
      </c>
      <c r="F13" s="686">
        <v>0</v>
      </c>
      <c r="G13" s="686">
        <v>0</v>
      </c>
      <c r="H13" s="686">
        <v>-39.799999999999997</v>
      </c>
      <c r="I13" s="686">
        <v>0</v>
      </c>
      <c r="J13" s="686">
        <v>0</v>
      </c>
      <c r="K13" s="687">
        <v>0</v>
      </c>
    </row>
    <row r="14" spans="1:12">
      <c r="B14" s="212" t="s">
        <v>354</v>
      </c>
      <c r="C14" s="151" t="s">
        <v>125</v>
      </c>
      <c r="D14" s="685">
        <v>0</v>
      </c>
      <c r="E14" s="686">
        <v>0</v>
      </c>
      <c r="F14" s="686">
        <v>0</v>
      </c>
      <c r="G14" s="686">
        <v>0</v>
      </c>
      <c r="H14" s="686">
        <v>0</v>
      </c>
      <c r="I14" s="686">
        <v>0</v>
      </c>
      <c r="J14" s="686">
        <v>0</v>
      </c>
      <c r="K14" s="687">
        <v>0</v>
      </c>
    </row>
    <row r="15" spans="1:12">
      <c r="B15" s="212" t="s">
        <v>288</v>
      </c>
      <c r="C15" s="151" t="s">
        <v>125</v>
      </c>
      <c r="D15" s="685">
        <v>0</v>
      </c>
      <c r="E15" s="686">
        <v>0</v>
      </c>
      <c r="F15" s="686">
        <v>0</v>
      </c>
      <c r="G15" s="686">
        <v>0</v>
      </c>
      <c r="H15" s="686">
        <v>0</v>
      </c>
      <c r="I15" s="686">
        <v>0</v>
      </c>
      <c r="J15" s="686">
        <v>0</v>
      </c>
      <c r="K15" s="687">
        <v>0</v>
      </c>
    </row>
    <row r="16" spans="1:12">
      <c r="B16" s="212" t="s">
        <v>289</v>
      </c>
      <c r="C16" s="151" t="s">
        <v>125</v>
      </c>
      <c r="D16" s="685">
        <v>0</v>
      </c>
      <c r="E16" s="686">
        <v>0</v>
      </c>
      <c r="F16" s="686">
        <v>0</v>
      </c>
      <c r="G16" s="686">
        <v>0</v>
      </c>
      <c r="H16" s="686">
        <v>0</v>
      </c>
      <c r="I16" s="686">
        <v>0</v>
      </c>
      <c r="J16" s="686">
        <v>0</v>
      </c>
      <c r="K16" s="687">
        <v>0</v>
      </c>
    </row>
    <row r="17" spans="2:13">
      <c r="B17" s="212" t="s">
        <v>293</v>
      </c>
      <c r="C17" s="151" t="s">
        <v>125</v>
      </c>
      <c r="D17" s="685">
        <v>0</v>
      </c>
      <c r="E17" s="686">
        <v>0</v>
      </c>
      <c r="F17" s="686">
        <v>0</v>
      </c>
      <c r="G17" s="686">
        <v>0</v>
      </c>
      <c r="H17" s="686">
        <v>0</v>
      </c>
      <c r="I17" s="686">
        <v>0</v>
      </c>
      <c r="J17" s="686">
        <v>0</v>
      </c>
      <c r="K17" s="687">
        <v>0</v>
      </c>
    </row>
    <row r="18" spans="2:13">
      <c r="B18" s="212" t="s">
        <v>294</v>
      </c>
      <c r="C18" s="151" t="s">
        <v>125</v>
      </c>
      <c r="D18" s="685">
        <v>0</v>
      </c>
      <c r="E18" s="686">
        <v>0</v>
      </c>
      <c r="F18" s="686">
        <v>0</v>
      </c>
      <c r="G18" s="686">
        <v>0</v>
      </c>
      <c r="H18" s="686">
        <v>0</v>
      </c>
      <c r="I18" s="686">
        <v>0</v>
      </c>
      <c r="J18" s="686">
        <v>0</v>
      </c>
      <c r="K18" s="687">
        <v>0</v>
      </c>
    </row>
    <row r="19" spans="2:13">
      <c r="B19" s="212" t="s">
        <v>295</v>
      </c>
      <c r="C19" s="151" t="s">
        <v>125</v>
      </c>
      <c r="D19" s="685">
        <v>0</v>
      </c>
      <c r="E19" s="686">
        <v>0</v>
      </c>
      <c r="F19" s="686">
        <v>0</v>
      </c>
      <c r="G19" s="686">
        <v>0</v>
      </c>
      <c r="H19" s="686">
        <v>0</v>
      </c>
      <c r="I19" s="686">
        <v>0</v>
      </c>
      <c r="J19" s="686">
        <v>0</v>
      </c>
      <c r="K19" s="687">
        <v>0</v>
      </c>
    </row>
    <row r="20" spans="2:13">
      <c r="B20" s="212" t="s">
        <v>296</v>
      </c>
      <c r="C20" s="151" t="s">
        <v>125</v>
      </c>
      <c r="D20" s="685">
        <v>0</v>
      </c>
      <c r="E20" s="686">
        <v>0</v>
      </c>
      <c r="F20" s="686">
        <v>0</v>
      </c>
      <c r="G20" s="686">
        <v>0</v>
      </c>
      <c r="H20" s="686">
        <v>0</v>
      </c>
      <c r="I20" s="686">
        <v>0</v>
      </c>
      <c r="J20" s="686">
        <v>0</v>
      </c>
      <c r="K20" s="687">
        <v>0</v>
      </c>
    </row>
    <row r="21" spans="2:13">
      <c r="B21" s="212" t="s">
        <v>297</v>
      </c>
      <c r="C21" s="151" t="s">
        <v>125</v>
      </c>
      <c r="D21" s="685">
        <v>0</v>
      </c>
      <c r="E21" s="686">
        <v>0</v>
      </c>
      <c r="F21" s="686">
        <v>0</v>
      </c>
      <c r="G21" s="686">
        <v>0</v>
      </c>
      <c r="H21" s="686">
        <v>0</v>
      </c>
      <c r="I21" s="686">
        <v>0</v>
      </c>
      <c r="J21" s="686">
        <v>0</v>
      </c>
      <c r="K21" s="687">
        <v>0</v>
      </c>
    </row>
    <row r="22" spans="2:13">
      <c r="B22" s="212" t="s">
        <v>298</v>
      </c>
      <c r="C22" s="151" t="s">
        <v>125</v>
      </c>
      <c r="D22" s="685">
        <v>0</v>
      </c>
      <c r="E22" s="686">
        <v>0</v>
      </c>
      <c r="F22" s="686">
        <v>0</v>
      </c>
      <c r="G22" s="686">
        <v>0</v>
      </c>
      <c r="H22" s="686">
        <v>0</v>
      </c>
      <c r="I22" s="686">
        <v>0</v>
      </c>
      <c r="J22" s="686">
        <v>0</v>
      </c>
      <c r="K22" s="687">
        <v>0</v>
      </c>
    </row>
    <row r="23" spans="2:13">
      <c r="B23" s="14" t="s">
        <v>314</v>
      </c>
      <c r="C23" s="234" t="s">
        <v>125</v>
      </c>
      <c r="D23" s="688">
        <f>SUM(D10:D22)</f>
        <v>731.8</v>
      </c>
      <c r="E23" s="688">
        <f t="shared" ref="E23:K23" si="2">SUM(E10:E22)</f>
        <v>1041.9000000000001</v>
      </c>
      <c r="F23" s="688">
        <f t="shared" si="2"/>
        <v>1183.4000000000001</v>
      </c>
      <c r="G23" s="688">
        <f t="shared" si="2"/>
        <v>1188.5</v>
      </c>
      <c r="H23" s="688">
        <f t="shared" si="2"/>
        <v>1263.2</v>
      </c>
      <c r="I23" s="688">
        <f t="shared" si="2"/>
        <v>1351.6</v>
      </c>
      <c r="J23" s="688">
        <f t="shared" si="2"/>
        <v>1372.3</v>
      </c>
      <c r="K23" s="689">
        <f t="shared" si="2"/>
        <v>1197</v>
      </c>
      <c r="L23" s="2"/>
      <c r="M23" s="317"/>
    </row>
    <row r="24" spans="2:13">
      <c r="B24" s="14"/>
      <c r="C24" s="151"/>
      <c r="D24" s="238"/>
      <c r="E24" s="238"/>
      <c r="F24" s="238"/>
      <c r="G24" s="238"/>
      <c r="H24" s="238"/>
      <c r="I24" s="238"/>
      <c r="J24" s="238"/>
      <c r="K24" s="238"/>
      <c r="L24" s="2"/>
      <c r="M24" s="2"/>
    </row>
    <row r="25" spans="2:13">
      <c r="B25" s="14" t="s">
        <v>120</v>
      </c>
      <c r="C25" s="16"/>
      <c r="D25" s="239"/>
      <c r="E25" s="239"/>
      <c r="F25" s="239"/>
      <c r="G25" s="239"/>
      <c r="H25" s="239"/>
      <c r="I25" s="239"/>
      <c r="J25" s="239"/>
      <c r="K25" s="239"/>
      <c r="L25" s="2"/>
      <c r="M25" s="2"/>
    </row>
    <row r="26" spans="2:13">
      <c r="B26" s="359" t="s">
        <v>512</v>
      </c>
      <c r="C26" s="151" t="s">
        <v>125</v>
      </c>
      <c r="D26" s="337">
        <v>0</v>
      </c>
      <c r="E26" s="337">
        <v>0</v>
      </c>
      <c r="F26" s="337">
        <v>0</v>
      </c>
      <c r="G26" s="337">
        <v>0</v>
      </c>
      <c r="H26" s="337">
        <v>0</v>
      </c>
      <c r="I26" s="337">
        <v>0</v>
      </c>
      <c r="J26" s="337">
        <v>0</v>
      </c>
      <c r="K26" s="337">
        <v>0</v>
      </c>
      <c r="L26" s="2"/>
      <c r="M26" s="2"/>
    </row>
    <row r="27" spans="2:13">
      <c r="B27" s="359" t="s">
        <v>8</v>
      </c>
      <c r="C27" s="151" t="s">
        <v>125</v>
      </c>
      <c r="D27" s="337">
        <v>0</v>
      </c>
      <c r="E27" s="369">
        <v>0</v>
      </c>
      <c r="F27" s="369">
        <v>0</v>
      </c>
      <c r="G27" s="369">
        <v>0</v>
      </c>
      <c r="H27" s="369">
        <v>0</v>
      </c>
      <c r="I27" s="369">
        <v>0</v>
      </c>
      <c r="J27" s="369">
        <v>0</v>
      </c>
      <c r="K27" s="373">
        <v>0</v>
      </c>
      <c r="L27" s="33"/>
      <c r="M27" s="33"/>
    </row>
    <row r="28" spans="2:13">
      <c r="B28" s="359" t="s">
        <v>9</v>
      </c>
      <c r="C28" s="151" t="s">
        <v>125</v>
      </c>
      <c r="D28" s="337">
        <v>0</v>
      </c>
      <c r="E28" s="369">
        <v>0</v>
      </c>
      <c r="F28" s="369">
        <v>0</v>
      </c>
      <c r="G28" s="369">
        <v>0</v>
      </c>
      <c r="H28" s="369">
        <v>0</v>
      </c>
      <c r="I28" s="369">
        <v>0</v>
      </c>
      <c r="J28" s="369">
        <v>0</v>
      </c>
      <c r="K28" s="373">
        <v>0</v>
      </c>
      <c r="L28" s="33"/>
      <c r="M28" s="33"/>
    </row>
    <row r="29" spans="2:13">
      <c r="B29" s="359" t="s">
        <v>10</v>
      </c>
      <c r="C29" s="151" t="s">
        <v>125</v>
      </c>
      <c r="D29" s="337">
        <v>0</v>
      </c>
      <c r="E29" s="369">
        <v>0</v>
      </c>
      <c r="F29" s="369">
        <v>0</v>
      </c>
      <c r="G29" s="369">
        <v>0</v>
      </c>
      <c r="H29" s="369">
        <v>0</v>
      </c>
      <c r="I29" s="369">
        <v>0</v>
      </c>
      <c r="J29" s="369">
        <v>0</v>
      </c>
      <c r="K29" s="373">
        <v>0</v>
      </c>
      <c r="L29" s="33"/>
      <c r="M29" s="33"/>
    </row>
    <row r="30" spans="2:13">
      <c r="B30" s="359" t="s">
        <v>607</v>
      </c>
      <c r="C30" s="151" t="s">
        <v>125</v>
      </c>
      <c r="D30" s="337">
        <v>0</v>
      </c>
      <c r="E30" s="369">
        <v>0</v>
      </c>
      <c r="F30" s="369">
        <v>0</v>
      </c>
      <c r="G30" s="369">
        <v>0</v>
      </c>
      <c r="H30" s="369">
        <v>0</v>
      </c>
      <c r="I30" s="369">
        <v>0</v>
      </c>
      <c r="J30" s="369">
        <v>0</v>
      </c>
      <c r="K30" s="373">
        <v>0</v>
      </c>
    </row>
    <row r="31" spans="2:13">
      <c r="B31" s="359" t="s">
        <v>608</v>
      </c>
      <c r="C31" s="151" t="s">
        <v>125</v>
      </c>
      <c r="D31" s="337">
        <v>0</v>
      </c>
      <c r="E31" s="369">
        <v>0</v>
      </c>
      <c r="F31" s="369">
        <v>0</v>
      </c>
      <c r="G31" s="369">
        <v>0</v>
      </c>
      <c r="H31" s="369">
        <v>0</v>
      </c>
      <c r="I31" s="369">
        <v>0</v>
      </c>
      <c r="J31" s="369">
        <v>0</v>
      </c>
      <c r="K31" s="373">
        <v>0</v>
      </c>
    </row>
    <row r="32" spans="2:13" ht="12.75" customHeight="1">
      <c r="B32" s="359" t="s">
        <v>609</v>
      </c>
      <c r="C32" s="151" t="s">
        <v>125</v>
      </c>
      <c r="D32" s="337">
        <v>0</v>
      </c>
      <c r="E32" s="369">
        <v>0</v>
      </c>
      <c r="F32" s="369">
        <v>0</v>
      </c>
      <c r="G32" s="369">
        <v>0</v>
      </c>
      <c r="H32" s="369">
        <v>0</v>
      </c>
      <c r="I32" s="369">
        <v>0</v>
      </c>
      <c r="J32" s="369">
        <v>0</v>
      </c>
      <c r="K32" s="373">
        <v>0</v>
      </c>
    </row>
    <row r="33" spans="2:12">
      <c r="B33" s="359" t="s">
        <v>610</v>
      </c>
      <c r="C33" s="151" t="s">
        <v>125</v>
      </c>
      <c r="D33" s="337">
        <v>0</v>
      </c>
      <c r="E33" s="369">
        <v>0</v>
      </c>
      <c r="F33" s="369">
        <v>0</v>
      </c>
      <c r="G33" s="369">
        <v>0</v>
      </c>
      <c r="H33" s="369">
        <v>0</v>
      </c>
      <c r="I33" s="369">
        <v>0</v>
      </c>
      <c r="J33" s="369">
        <v>0</v>
      </c>
      <c r="K33" s="373">
        <v>0</v>
      </c>
    </row>
    <row r="34" spans="2:12">
      <c r="B34" s="359" t="s">
        <v>611</v>
      </c>
      <c r="C34" s="151" t="s">
        <v>125</v>
      </c>
      <c r="D34" s="337">
        <v>0</v>
      </c>
      <c r="E34" s="369">
        <v>0</v>
      </c>
      <c r="F34" s="369">
        <v>0</v>
      </c>
      <c r="G34" s="369">
        <v>0</v>
      </c>
      <c r="H34" s="369">
        <v>0</v>
      </c>
      <c r="I34" s="369">
        <v>0</v>
      </c>
      <c r="J34" s="369">
        <v>0</v>
      </c>
      <c r="K34" s="373">
        <v>0</v>
      </c>
    </row>
    <row r="35" spans="2:12">
      <c r="B35" s="359" t="s">
        <v>612</v>
      </c>
      <c r="C35" s="151" t="s">
        <v>125</v>
      </c>
      <c r="D35" s="337">
        <v>0</v>
      </c>
      <c r="E35" s="369">
        <v>0</v>
      </c>
      <c r="F35" s="369">
        <v>0</v>
      </c>
      <c r="G35" s="369">
        <v>0</v>
      </c>
      <c r="H35" s="369">
        <v>0</v>
      </c>
      <c r="I35" s="369">
        <v>0</v>
      </c>
      <c r="J35" s="369">
        <v>0</v>
      </c>
      <c r="K35" s="373">
        <v>0</v>
      </c>
    </row>
    <row r="36" spans="2:12">
      <c r="B36" s="359" t="s">
        <v>613</v>
      </c>
      <c r="C36" s="151" t="s">
        <v>125</v>
      </c>
      <c r="D36" s="337">
        <v>0</v>
      </c>
      <c r="E36" s="369">
        <v>0</v>
      </c>
      <c r="F36" s="369">
        <v>0</v>
      </c>
      <c r="G36" s="369">
        <v>0</v>
      </c>
      <c r="H36" s="369">
        <v>0</v>
      </c>
      <c r="I36" s="369">
        <v>0</v>
      </c>
      <c r="J36" s="369">
        <v>0</v>
      </c>
      <c r="K36" s="373">
        <v>0</v>
      </c>
    </row>
    <row r="37" spans="2:12">
      <c r="B37" s="359" t="s">
        <v>614</v>
      </c>
      <c r="C37" s="151" t="s">
        <v>125</v>
      </c>
      <c r="D37" s="337">
        <v>0</v>
      </c>
      <c r="E37" s="369">
        <v>0</v>
      </c>
      <c r="F37" s="369">
        <v>0</v>
      </c>
      <c r="G37" s="369">
        <v>0</v>
      </c>
      <c r="H37" s="369">
        <v>0</v>
      </c>
      <c r="I37" s="369">
        <v>0</v>
      </c>
      <c r="J37" s="369">
        <v>0</v>
      </c>
      <c r="K37" s="373">
        <v>0</v>
      </c>
    </row>
    <row r="38" spans="2:12">
      <c r="B38" s="359" t="s">
        <v>615</v>
      </c>
      <c r="C38" s="151" t="s">
        <v>125</v>
      </c>
      <c r="D38" s="337">
        <v>0</v>
      </c>
      <c r="E38" s="369">
        <v>0</v>
      </c>
      <c r="F38" s="369">
        <v>0</v>
      </c>
      <c r="G38" s="369">
        <v>0</v>
      </c>
      <c r="H38" s="369">
        <v>0</v>
      </c>
      <c r="I38" s="369">
        <v>0</v>
      </c>
      <c r="J38" s="369">
        <v>0</v>
      </c>
      <c r="K38" s="373">
        <v>0</v>
      </c>
    </row>
    <row r="39" spans="2:12">
      <c r="B39" s="359" t="s">
        <v>616</v>
      </c>
      <c r="C39" s="151" t="s">
        <v>125</v>
      </c>
      <c r="D39" s="337">
        <v>0</v>
      </c>
      <c r="E39" s="369">
        <v>0</v>
      </c>
      <c r="F39" s="369">
        <v>0</v>
      </c>
      <c r="G39" s="369">
        <v>0</v>
      </c>
      <c r="H39" s="369">
        <v>0</v>
      </c>
      <c r="I39" s="369">
        <v>0</v>
      </c>
      <c r="J39" s="369">
        <v>0</v>
      </c>
      <c r="K39" s="373">
        <v>0</v>
      </c>
    </row>
    <row r="40" spans="2:12">
      <c r="B40" s="359" t="s">
        <v>617</v>
      </c>
      <c r="C40" s="151" t="s">
        <v>125</v>
      </c>
      <c r="D40" s="337">
        <v>0</v>
      </c>
      <c r="E40" s="369">
        <v>0</v>
      </c>
      <c r="F40" s="369">
        <v>0</v>
      </c>
      <c r="G40" s="369">
        <v>0</v>
      </c>
      <c r="H40" s="369">
        <v>0</v>
      </c>
      <c r="I40" s="369">
        <v>0</v>
      </c>
      <c r="J40" s="369">
        <v>0</v>
      </c>
      <c r="K40" s="373">
        <v>0</v>
      </c>
    </row>
    <row r="41" spans="2:12">
      <c r="B41" s="359" t="s">
        <v>618</v>
      </c>
      <c r="C41" s="151" t="s">
        <v>125</v>
      </c>
      <c r="D41" s="370">
        <v>0</v>
      </c>
      <c r="E41" s="371">
        <v>0</v>
      </c>
      <c r="F41" s="371">
        <v>0</v>
      </c>
      <c r="G41" s="371">
        <v>0</v>
      </c>
      <c r="H41" s="371">
        <v>0</v>
      </c>
      <c r="I41" s="371">
        <v>0</v>
      </c>
      <c r="J41" s="371">
        <v>0</v>
      </c>
      <c r="K41" s="374">
        <v>0</v>
      </c>
    </row>
    <row r="42" spans="2:12">
      <c r="B42" s="198" t="s">
        <v>230</v>
      </c>
      <c r="C42" s="151" t="s">
        <v>125</v>
      </c>
      <c r="D42" s="696">
        <f>SUM(D23,D26:D41)</f>
        <v>731.8</v>
      </c>
      <c r="E42" s="696">
        <f t="shared" ref="E42:K42" si="3">SUM(E23,E26:E41)</f>
        <v>1041.9000000000001</v>
      </c>
      <c r="F42" s="696">
        <f t="shared" si="3"/>
        <v>1183.4000000000001</v>
      </c>
      <c r="G42" s="696">
        <f t="shared" si="3"/>
        <v>1188.5</v>
      </c>
      <c r="H42" s="696">
        <f t="shared" si="3"/>
        <v>1263.2</v>
      </c>
      <c r="I42" s="696">
        <f t="shared" si="3"/>
        <v>1351.6</v>
      </c>
      <c r="J42" s="696">
        <f t="shared" si="3"/>
        <v>1372.3</v>
      </c>
      <c r="K42" s="696">
        <f t="shared" si="3"/>
        <v>1197</v>
      </c>
    </row>
    <row r="43" spans="2:12">
      <c r="B43" s="360" t="s">
        <v>301</v>
      </c>
      <c r="C43" s="151" t="s">
        <v>125</v>
      </c>
      <c r="D43" s="697"/>
      <c r="E43" s="698"/>
      <c r="F43" s="698"/>
      <c r="G43" s="699"/>
      <c r="H43" s="699"/>
      <c r="I43" s="699"/>
      <c r="J43" s="699"/>
      <c r="K43" s="700">
        <v>219.53834267119964</v>
      </c>
    </row>
    <row r="44" spans="2:12">
      <c r="B44" s="336" t="s">
        <v>418</v>
      </c>
      <c r="C44" s="151" t="s">
        <v>125</v>
      </c>
      <c r="D44" s="94">
        <f>SUM(D42:D43)</f>
        <v>731.8</v>
      </c>
      <c r="E44" s="95">
        <f t="shared" ref="E44:K44" si="4">SUM(E42:E43)</f>
        <v>1041.9000000000001</v>
      </c>
      <c r="F44" s="95">
        <f t="shared" si="4"/>
        <v>1183.4000000000001</v>
      </c>
      <c r="G44" s="95">
        <f t="shared" si="4"/>
        <v>1188.5</v>
      </c>
      <c r="H44" s="95">
        <f t="shared" si="4"/>
        <v>1263.2</v>
      </c>
      <c r="I44" s="95">
        <f t="shared" si="4"/>
        <v>1351.6</v>
      </c>
      <c r="J44" s="95">
        <f t="shared" si="4"/>
        <v>1372.3</v>
      </c>
      <c r="K44" s="96">
        <f t="shared" si="4"/>
        <v>1416.5383426711996</v>
      </c>
    </row>
    <row r="45" spans="2:12">
      <c r="D45" s="225" t="s">
        <v>627</v>
      </c>
      <c r="E45" s="226" t="s">
        <v>627</v>
      </c>
      <c r="F45" s="226" t="s">
        <v>627</v>
      </c>
      <c r="G45" s="226" t="s">
        <v>627</v>
      </c>
      <c r="H45" s="226" t="s">
        <v>627</v>
      </c>
      <c r="I45" s="226" t="s">
        <v>627</v>
      </c>
      <c r="J45" s="226" t="s">
        <v>627</v>
      </c>
      <c r="K45" s="227" t="s">
        <v>627</v>
      </c>
    </row>
    <row r="47" spans="2:12">
      <c r="B47" s="814" t="s">
        <v>419</v>
      </c>
      <c r="C47" s="151" t="s">
        <v>125</v>
      </c>
      <c r="D47" s="829">
        <v>527.20000000000005</v>
      </c>
      <c r="E47" s="95">
        <f>D48</f>
        <v>731.8</v>
      </c>
      <c r="F47" s="95">
        <f t="shared" ref="F47:K47" si="5">E48</f>
        <v>1041.9000000000001</v>
      </c>
      <c r="G47" s="95">
        <f t="shared" si="5"/>
        <v>1183.4000000000001</v>
      </c>
      <c r="H47" s="95">
        <f t="shared" si="5"/>
        <v>1188.5</v>
      </c>
      <c r="I47" s="95">
        <f t="shared" si="5"/>
        <v>1263.2</v>
      </c>
      <c r="J47" s="95">
        <f t="shared" si="5"/>
        <v>1351.6</v>
      </c>
      <c r="K47" s="96">
        <f t="shared" si="5"/>
        <v>1372.3</v>
      </c>
      <c r="L47" s="813"/>
    </row>
    <row r="48" spans="2:12">
      <c r="B48" s="814" t="s">
        <v>420</v>
      </c>
      <c r="C48" s="151" t="s">
        <v>125</v>
      </c>
      <c r="D48" s="568">
        <f>D44</f>
        <v>731.8</v>
      </c>
      <c r="E48" s="569">
        <f>E44</f>
        <v>1041.9000000000001</v>
      </c>
      <c r="F48" s="569">
        <f t="shared" ref="F48:K48" si="6">F44</f>
        <v>1183.4000000000001</v>
      </c>
      <c r="G48" s="569">
        <f t="shared" si="6"/>
        <v>1188.5</v>
      </c>
      <c r="H48" s="569">
        <f t="shared" si="6"/>
        <v>1263.2</v>
      </c>
      <c r="I48" s="569">
        <f t="shared" si="6"/>
        <v>1351.6</v>
      </c>
      <c r="J48" s="569">
        <f t="shared" si="6"/>
        <v>1372.3</v>
      </c>
      <c r="K48" s="828">
        <f t="shared" si="6"/>
        <v>1416.5383426711996</v>
      </c>
      <c r="L48" s="813"/>
    </row>
    <row r="49" spans="2:13">
      <c r="D49" s="21"/>
      <c r="E49" s="21"/>
      <c r="F49" s="21"/>
      <c r="G49" s="21"/>
      <c r="H49" s="21"/>
      <c r="I49" s="21"/>
      <c r="J49" s="21"/>
      <c r="K49" s="21"/>
    </row>
    <row r="50" spans="2:13">
      <c r="B50" s="14" t="s">
        <v>121</v>
      </c>
    </row>
    <row r="51" spans="2:13">
      <c r="B51" t="s">
        <v>122</v>
      </c>
      <c r="C51" s="470" t="s">
        <v>7</v>
      </c>
      <c r="D51" s="464">
        <v>0</v>
      </c>
      <c r="E51" s="465">
        <v>0</v>
      </c>
      <c r="F51" s="465">
        <v>0</v>
      </c>
      <c r="G51" s="465">
        <v>0</v>
      </c>
      <c r="H51" s="465">
        <v>0</v>
      </c>
      <c r="I51" s="465">
        <v>0</v>
      </c>
      <c r="J51" s="465">
        <v>0</v>
      </c>
      <c r="K51" s="466">
        <v>0</v>
      </c>
    </row>
    <row r="52" spans="2:13">
      <c r="B52" t="s">
        <v>123</v>
      </c>
      <c r="C52" s="470" t="s">
        <v>7</v>
      </c>
      <c r="D52" s="476">
        <f>1-D51</f>
        <v>1</v>
      </c>
      <c r="E52" s="477">
        <f t="shared" ref="E52:K52" si="7">1-E51</f>
        <v>1</v>
      </c>
      <c r="F52" s="477">
        <f t="shared" si="7"/>
        <v>1</v>
      </c>
      <c r="G52" s="477">
        <f t="shared" si="7"/>
        <v>1</v>
      </c>
      <c r="H52" s="477">
        <f t="shared" si="7"/>
        <v>1</v>
      </c>
      <c r="I52" s="477">
        <f t="shared" si="7"/>
        <v>1</v>
      </c>
      <c r="J52" s="477">
        <f t="shared" si="7"/>
        <v>1</v>
      </c>
      <c r="K52" s="478">
        <f t="shared" si="7"/>
        <v>1</v>
      </c>
    </row>
    <row r="53" spans="2:13">
      <c r="C53" s="813"/>
      <c r="D53" s="813"/>
      <c r="E53" s="813"/>
      <c r="F53" s="813"/>
      <c r="G53" s="813"/>
      <c r="H53" s="813"/>
      <c r="I53" s="813"/>
      <c r="J53" s="813"/>
      <c r="K53" s="813"/>
      <c r="L53" s="813"/>
    </row>
    <row r="54" spans="2:13">
      <c r="B54" s="199" t="s">
        <v>442</v>
      </c>
      <c r="C54" s="265" t="s">
        <v>125</v>
      </c>
      <c r="D54" s="701">
        <f>AVERAGE(D47:D48)*D52</f>
        <v>629.5</v>
      </c>
      <c r="E54" s="702">
        <f t="shared" ref="E54:K54" si="8">AVERAGE(E47:E48)*E52</f>
        <v>886.85</v>
      </c>
      <c r="F54" s="702">
        <f t="shared" si="8"/>
        <v>1112.6500000000001</v>
      </c>
      <c r="G54" s="702">
        <f t="shared" si="8"/>
        <v>1185.95</v>
      </c>
      <c r="H54" s="702">
        <f t="shared" si="8"/>
        <v>1225.8499999999999</v>
      </c>
      <c r="I54" s="702">
        <f t="shared" si="8"/>
        <v>1307.4000000000001</v>
      </c>
      <c r="J54" s="702">
        <f t="shared" si="8"/>
        <v>1361.9499999999998</v>
      </c>
      <c r="K54" s="703">
        <f t="shared" si="8"/>
        <v>1394.4191713355999</v>
      </c>
    </row>
    <row r="55" spans="2:13">
      <c r="B55" s="199" t="s">
        <v>267</v>
      </c>
      <c r="C55" s="151" t="s">
        <v>125</v>
      </c>
      <c r="D55" s="690">
        <f>D56-D54</f>
        <v>700.99162020618814</v>
      </c>
      <c r="E55" s="691">
        <f t="shared" ref="E55:K55" si="9">E56-E54</f>
        <v>602.12830102770783</v>
      </c>
      <c r="F55" s="691">
        <f t="shared" si="9"/>
        <v>589.07686825139217</v>
      </c>
      <c r="G55" s="691">
        <f t="shared" si="9"/>
        <v>806.44525761271598</v>
      </c>
      <c r="H55" s="691">
        <f t="shared" si="9"/>
        <v>1011.3749924783801</v>
      </c>
      <c r="I55" s="691">
        <f t="shared" si="9"/>
        <v>1044.440933003239</v>
      </c>
      <c r="J55" s="691">
        <f t="shared" si="9"/>
        <v>1068.4484593030256</v>
      </c>
      <c r="K55" s="692">
        <f t="shared" si="9"/>
        <v>1163.6367583403721</v>
      </c>
    </row>
    <row r="56" spans="2:13">
      <c r="B56" s="199" t="s">
        <v>489</v>
      </c>
      <c r="C56" s="151" t="s">
        <v>125</v>
      </c>
      <c r="D56" s="866">
        <f>IF(D6='RFPR cover'!$C$13,AVERAGE(('R9 - RAV'!D16*'R9 - RAV'!D36),'R9 - RAV'!D38),AVERAGE('R9 - RAV'!C38:D38))</f>
        <v>1330.4916202061881</v>
      </c>
      <c r="E56" s="866">
        <f>IF(E6='RFPR cover'!$C$13,AVERAGE(('R9 - RAV'!E16*'R9 - RAV'!E36),'R9 - RAV'!E38),AVERAGE('R9 - RAV'!D38:E38))</f>
        <v>1488.9783010277079</v>
      </c>
      <c r="F56" s="866">
        <f>IF(F6='RFPR cover'!$C$13,AVERAGE(('R9 - RAV'!F16*'R9 - RAV'!F36),'R9 - RAV'!F38),AVERAGE('R9 - RAV'!E38:F38))</f>
        <v>1701.7268682513923</v>
      </c>
      <c r="G56" s="866">
        <f>IF(G6='RFPR cover'!$C$13,AVERAGE(('R9 - RAV'!G16*'R9 - RAV'!G36),'R9 - RAV'!G38),AVERAGE('R9 - RAV'!F38:G38))</f>
        <v>1992.395257612716</v>
      </c>
      <c r="H56" s="866">
        <f>IF(H6='RFPR cover'!$C$13,AVERAGE(('R9 - RAV'!H16*'R9 - RAV'!H36),'R9 - RAV'!H38),AVERAGE('R9 - RAV'!G38:H38))</f>
        <v>2237.22499247838</v>
      </c>
      <c r="I56" s="866">
        <f>IF(I6='RFPR cover'!$C$13,AVERAGE(('R9 - RAV'!I16*'R9 - RAV'!I36),'R9 - RAV'!I38),AVERAGE('R9 - RAV'!H38:I38))</f>
        <v>2351.8409330032391</v>
      </c>
      <c r="J56" s="866">
        <f>IF(J6='RFPR cover'!$C$13,AVERAGE(('R9 - RAV'!J16*'R9 - RAV'!J36),'R9 - RAV'!J38),AVERAGE('R9 - RAV'!I38:J38))</f>
        <v>2430.3984593030254</v>
      </c>
      <c r="K56" s="866">
        <f>IF(K6='RFPR cover'!$C$13,AVERAGE(('R9 - RAV'!K16*'R9 - RAV'!K36),'R9 - RAV'!K38),AVERAGE('R9 - RAV'!J38:K38))</f>
        <v>2558.055929675972</v>
      </c>
    </row>
    <row r="57" spans="2:13">
      <c r="B57" s="199" t="s">
        <v>231</v>
      </c>
      <c r="C57" s="151" t="s">
        <v>7</v>
      </c>
      <c r="D57" s="230">
        <f>D54/D56</f>
        <v>0.47313338200690469</v>
      </c>
      <c r="E57" s="231">
        <f t="shared" ref="E57:K57" si="10">E54/E56</f>
        <v>0.5956097542777401</v>
      </c>
      <c r="F57" s="231">
        <f t="shared" si="10"/>
        <v>0.65383583038992765</v>
      </c>
      <c r="G57" s="231">
        <f t="shared" si="10"/>
        <v>0.59523831703002694</v>
      </c>
      <c r="H57" s="231">
        <f t="shared" si="10"/>
        <v>0.54793326738318482</v>
      </c>
      <c r="I57" s="231">
        <f t="shared" si="10"/>
        <v>0.5559049430823898</v>
      </c>
      <c r="J57" s="231">
        <f t="shared" si="10"/>
        <v>0.56038136248266524</v>
      </c>
      <c r="K57" s="232">
        <f t="shared" si="10"/>
        <v>0.54510894588306769</v>
      </c>
    </row>
    <row r="58" spans="2:13">
      <c r="B58" s="199" t="s">
        <v>112</v>
      </c>
      <c r="C58" s="151" t="s">
        <v>7</v>
      </c>
      <c r="D58" s="867">
        <f>'RFPR cover'!$C$12</f>
        <v>0.55000000000000004</v>
      </c>
      <c r="E58" s="868">
        <f>'RFPR cover'!$C$12</f>
        <v>0.55000000000000004</v>
      </c>
      <c r="F58" s="868">
        <f>'RFPR cover'!$C$12</f>
        <v>0.55000000000000004</v>
      </c>
      <c r="G58" s="868">
        <f>'RFPR cover'!$C$12</f>
        <v>0.55000000000000004</v>
      </c>
      <c r="H58" s="868">
        <f>'RFPR cover'!$C$12</f>
        <v>0.55000000000000004</v>
      </c>
      <c r="I58" s="868">
        <f>'RFPR cover'!$C$12</f>
        <v>0.55000000000000004</v>
      </c>
      <c r="J58" s="868">
        <f>'RFPR cover'!$C$12</f>
        <v>0.55000000000000004</v>
      </c>
      <c r="K58" s="869">
        <f>'RFPR cover'!$C$12</f>
        <v>0.55000000000000004</v>
      </c>
    </row>
    <row r="59" spans="2:13">
      <c r="B59" s="199" t="s">
        <v>232</v>
      </c>
      <c r="C59" s="151" t="s">
        <v>7</v>
      </c>
      <c r="D59" s="235">
        <f t="shared" ref="D59:K59" si="11">IF(ISBLANK(D23),"n/a",D57-D58)</f>
        <v>-7.6866617993095354E-2</v>
      </c>
      <c r="E59" s="236">
        <f t="shared" si="11"/>
        <v>4.5609754277740056E-2</v>
      </c>
      <c r="F59" s="236">
        <f t="shared" si="11"/>
        <v>0.10383583038992761</v>
      </c>
      <c r="G59" s="236">
        <f t="shared" si="11"/>
        <v>4.5238317030026898E-2</v>
      </c>
      <c r="H59" s="236">
        <f t="shared" si="11"/>
        <v>-2.0667326168152256E-3</v>
      </c>
      <c r="I59" s="236">
        <f t="shared" si="11"/>
        <v>5.9049430823897575E-3</v>
      </c>
      <c r="J59" s="236">
        <f t="shared" si="11"/>
        <v>1.0381362482665191E-2</v>
      </c>
      <c r="K59" s="237">
        <f t="shared" si="11"/>
        <v>-4.8910541169323585E-3</v>
      </c>
    </row>
    <row r="61" spans="2:13">
      <c r="B61" s="199" t="s">
        <v>496</v>
      </c>
      <c r="C61" s="154" t="str">
        <f>'RFPR cover'!$C$14</f>
        <v>£m 09/10</v>
      </c>
      <c r="D61" s="947">
        <f t="shared" ref="D61:K61" si="12">D63*D57</f>
        <v>525.66617826548236</v>
      </c>
      <c r="E61" s="694">
        <f t="shared" si="12"/>
        <v>728.61955353814028</v>
      </c>
      <c r="F61" s="694">
        <f t="shared" si="12"/>
        <v>903.62657487406977</v>
      </c>
      <c r="G61" s="694">
        <f t="shared" si="12"/>
        <v>940.41555095831563</v>
      </c>
      <c r="H61" s="694">
        <f t="shared" si="12"/>
        <v>942.8439930198889</v>
      </c>
      <c r="I61" s="694">
        <f t="shared" si="12"/>
        <v>977.21700900978601</v>
      </c>
      <c r="J61" s="694">
        <f t="shared" si="12"/>
        <v>992.57863206430602</v>
      </c>
      <c r="K61" s="695">
        <f t="shared" si="12"/>
        <v>992.05837188474084</v>
      </c>
      <c r="M61" s="316"/>
    </row>
    <row r="62" spans="2:13">
      <c r="B62" s="199" t="s">
        <v>494</v>
      </c>
      <c r="C62" s="154" t="str">
        <f>'RFPR cover'!$C$14</f>
        <v>£m 09/10</v>
      </c>
      <c r="D62" s="656">
        <f>D63*(1-D57)</f>
        <v>585.36550594108894</v>
      </c>
      <c r="E62" s="657">
        <f t="shared" ref="E62:K62" si="13">E63*(1-E57)</f>
        <v>494.69747292945527</v>
      </c>
      <c r="F62" s="657">
        <f t="shared" si="13"/>
        <v>478.41236039684463</v>
      </c>
      <c r="G62" s="657">
        <f t="shared" si="13"/>
        <v>639.48198596532984</v>
      </c>
      <c r="H62" s="657">
        <f t="shared" si="13"/>
        <v>777.88378378168306</v>
      </c>
      <c r="I62" s="657">
        <f t="shared" si="13"/>
        <v>780.66807758667221</v>
      </c>
      <c r="J62" s="657">
        <f t="shared" si="13"/>
        <v>778.67697798466361</v>
      </c>
      <c r="K62" s="658">
        <f t="shared" si="13"/>
        <v>827.86841408576333</v>
      </c>
      <c r="M62" s="316"/>
    </row>
    <row r="63" spans="2:13">
      <c r="B63" s="199" t="s">
        <v>495</v>
      </c>
      <c r="C63" s="154" t="str">
        <f>'RFPR cover'!$C$14</f>
        <v>£m 09/10</v>
      </c>
      <c r="D63" s="865">
        <f>'R9 - RAV'!D47</f>
        <v>1111.0316842065713</v>
      </c>
      <c r="E63" s="865">
        <f>'R9 - RAV'!E47</f>
        <v>1223.3170264675955</v>
      </c>
      <c r="F63" s="865">
        <f>'R9 - RAV'!F47</f>
        <v>1382.0389352709144</v>
      </c>
      <c r="G63" s="865">
        <f>'R9 - RAV'!G47</f>
        <v>1579.8975369236455</v>
      </c>
      <c r="H63" s="865">
        <f>'R9 - RAV'!H47</f>
        <v>1720.727776801572</v>
      </c>
      <c r="I63" s="865">
        <f>'R9 - RAV'!I47</f>
        <v>1757.8850865964582</v>
      </c>
      <c r="J63" s="865">
        <f>'R9 - RAV'!J47</f>
        <v>1771.2556100489696</v>
      </c>
      <c r="K63" s="865">
        <f>'R9 - RAV'!K47</f>
        <v>1819.9267859705042</v>
      </c>
    </row>
    <row r="64" spans="2:13">
      <c r="B64" s="199" t="s">
        <v>231</v>
      </c>
      <c r="C64" s="151" t="s">
        <v>7</v>
      </c>
      <c r="D64" s="230">
        <f>D61/D63</f>
        <v>0.47313338200690463</v>
      </c>
      <c r="E64" s="231">
        <f t="shared" ref="E64:K64" si="14">E61/E63</f>
        <v>0.5956097542777401</v>
      </c>
      <c r="F64" s="231">
        <f t="shared" si="14"/>
        <v>0.65383583038992765</v>
      </c>
      <c r="G64" s="231">
        <f t="shared" si="14"/>
        <v>0.59523831703002694</v>
      </c>
      <c r="H64" s="231">
        <f t="shared" si="14"/>
        <v>0.54793326738318482</v>
      </c>
      <c r="I64" s="231">
        <f t="shared" si="14"/>
        <v>0.5559049430823898</v>
      </c>
      <c r="J64" s="231">
        <f t="shared" si="14"/>
        <v>0.56038136248266524</v>
      </c>
      <c r="K64" s="232">
        <f t="shared" si="14"/>
        <v>0.54510894588306769</v>
      </c>
    </row>
    <row r="65" spans="2:11">
      <c r="B65" s="199" t="s">
        <v>112</v>
      </c>
      <c r="C65" s="151" t="s">
        <v>7</v>
      </c>
      <c r="D65" s="867">
        <f>'RFPR cover'!$C$12</f>
        <v>0.55000000000000004</v>
      </c>
      <c r="E65" s="868">
        <f>'RFPR cover'!$C$12</f>
        <v>0.55000000000000004</v>
      </c>
      <c r="F65" s="868">
        <f>'RFPR cover'!$C$12</f>
        <v>0.55000000000000004</v>
      </c>
      <c r="G65" s="868">
        <f>'RFPR cover'!$C$12</f>
        <v>0.55000000000000004</v>
      </c>
      <c r="H65" s="868">
        <f>'RFPR cover'!$C$12</f>
        <v>0.55000000000000004</v>
      </c>
      <c r="I65" s="868">
        <f>'RFPR cover'!$C$12</f>
        <v>0.55000000000000004</v>
      </c>
      <c r="J65" s="868">
        <f>'RFPR cover'!$C$12</f>
        <v>0.55000000000000004</v>
      </c>
      <c r="K65" s="869">
        <f>'RFPR cover'!$C$12</f>
        <v>0.55000000000000004</v>
      </c>
    </row>
    <row r="66" spans="2:11">
      <c r="B66" s="199" t="s">
        <v>232</v>
      </c>
      <c r="C66" s="151" t="s">
        <v>7</v>
      </c>
      <c r="D66" s="235">
        <f t="shared" ref="D66:K66" si="15">IF(ISBLANK(D23),"n/a",D64-D65)</f>
        <v>-7.686661799309541E-2</v>
      </c>
      <c r="E66" s="236">
        <f t="shared" si="15"/>
        <v>4.5609754277740056E-2</v>
      </c>
      <c r="F66" s="236">
        <f t="shared" si="15"/>
        <v>0.10383583038992761</v>
      </c>
      <c r="G66" s="236">
        <f t="shared" si="15"/>
        <v>4.5238317030026898E-2</v>
      </c>
      <c r="H66" s="236">
        <f t="shared" si="15"/>
        <v>-2.0667326168152256E-3</v>
      </c>
      <c r="I66" s="236">
        <f t="shared" si="15"/>
        <v>5.9049430823897575E-3</v>
      </c>
      <c r="J66" s="236">
        <f t="shared" si="15"/>
        <v>1.0381362482665191E-2</v>
      </c>
      <c r="K66" s="237">
        <f t="shared" si="15"/>
        <v>-4.8910541169323585E-3</v>
      </c>
    </row>
  </sheetData>
  <conditionalFormatting sqref="D6:K6">
    <cfRule type="expression" dxfId="28" priority="18">
      <formula>AND(D$5="Actuals",E$5="Forecast")</formula>
    </cfRule>
  </conditionalFormatting>
  <conditionalFormatting sqref="D5:K5">
    <cfRule type="expression" dxfId="27"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FFCC"/>
    <pageSetUpPr fitToPage="1"/>
  </sheetPr>
  <dimension ref="A1:AD63"/>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100.125" customWidth="1"/>
    <col min="3" max="3" width="14.125" style="197" customWidth="1"/>
    <col min="4" max="11" width="11.125" customWidth="1"/>
    <col min="12" max="12" width="5" customWidth="1"/>
    <col min="14" max="14" width="10.875" style="212" customWidth="1"/>
    <col min="15" max="21" width="10.875" customWidth="1"/>
  </cols>
  <sheetData>
    <row r="1" spans="1:30" s="29" customFormat="1" ht="20.25">
      <c r="A1" s="900" t="s">
        <v>117</v>
      </c>
      <c r="B1" s="928"/>
      <c r="C1" s="387"/>
      <c r="D1" s="119"/>
      <c r="E1" s="119"/>
      <c r="F1" s="119"/>
      <c r="G1" s="119"/>
      <c r="H1" s="119"/>
      <c r="I1" s="125"/>
      <c r="J1" s="125"/>
      <c r="K1" s="126"/>
      <c r="L1" s="354"/>
      <c r="N1" s="211"/>
    </row>
    <row r="2" spans="1:30" s="29" customFormat="1" ht="20.25">
      <c r="A2" s="902" t="str">
        <f>'RFPR cover'!C5</f>
        <v>SPT</v>
      </c>
      <c r="B2" s="895"/>
      <c r="C2" s="220"/>
      <c r="D2" s="27"/>
      <c r="E2" s="27"/>
      <c r="F2" s="27"/>
      <c r="G2" s="27"/>
      <c r="H2" s="27"/>
      <c r="I2" s="25"/>
      <c r="J2" s="25"/>
      <c r="K2" s="25"/>
      <c r="L2" s="122"/>
      <c r="N2" s="211"/>
    </row>
    <row r="3" spans="1:30" s="29" customFormat="1" ht="20.25">
      <c r="A3" s="905">
        <f>'RFPR cover'!C7</f>
        <v>2020</v>
      </c>
      <c r="B3" s="912"/>
      <c r="C3" s="388"/>
      <c r="D3" s="259"/>
      <c r="E3" s="259"/>
      <c r="F3" s="259"/>
      <c r="G3" s="259"/>
      <c r="H3" s="259"/>
      <c r="I3" s="254"/>
      <c r="J3" s="254"/>
      <c r="K3" s="254"/>
      <c r="L3" s="260"/>
      <c r="N3" s="211"/>
    </row>
    <row r="4" spans="1:30" s="2" customFormat="1" ht="12.75" customHeight="1">
      <c r="C4" s="1"/>
      <c r="N4" s="128"/>
    </row>
    <row r="5" spans="1:30" s="2" customFormat="1">
      <c r="B5" s="36"/>
      <c r="C5" s="221"/>
      <c r="D5" s="380" t="str">
        <f>IF(D6&lt;='RFPR cover'!$C$7-1,"Actuals","Forecast")</f>
        <v>Actuals</v>
      </c>
      <c r="E5" s="380" t="str">
        <f>IF(E6&lt;='RFPR cover'!$C$7-1,"Actuals","Forecast")</f>
        <v>Actuals</v>
      </c>
      <c r="F5" s="380" t="str">
        <f>IF(F6&lt;='RFPR cover'!$C$7-1,"Actuals","Forecast")</f>
        <v>Actuals</v>
      </c>
      <c r="G5" s="380" t="str">
        <f>IF(G6&lt;='RFPR cover'!$C$7-1,"Actuals","Forecast")</f>
        <v>Actuals</v>
      </c>
      <c r="H5" s="380" t="str">
        <f>IF(H6&lt;='RFPR cover'!$C$7-1,"Actuals","Forecast")</f>
        <v>Actuals</v>
      </c>
      <c r="I5" s="380" t="str">
        <f>IF(I6&lt;='RFPR cover'!$C$7-1,"Actuals","Forecast")</f>
        <v>Actuals</v>
      </c>
      <c r="J5" s="380" t="str">
        <f>IF(J6&lt;='RFPR cover'!$C$7-1,"Actuals","Forecast")</f>
        <v>Forecast</v>
      </c>
      <c r="K5" s="380" t="str">
        <f>IF(K6&lt;='RFPR cover'!$C$7-1,"Actuals","Forecast")</f>
        <v>Forecast</v>
      </c>
      <c r="N5" s="128"/>
    </row>
    <row r="6" spans="1:30" s="2" customFormat="1">
      <c r="C6" s="1"/>
      <c r="D6" s="116">
        <f>'RFPR cover'!$C$13</f>
        <v>2014</v>
      </c>
      <c r="E6" s="117">
        <f>D6+1</f>
        <v>2015</v>
      </c>
      <c r="F6" s="117">
        <f t="shared" ref="F6:K6" si="0">E6+1</f>
        <v>2016</v>
      </c>
      <c r="G6" s="117">
        <f t="shared" si="0"/>
        <v>2017</v>
      </c>
      <c r="H6" s="117">
        <f t="shared" si="0"/>
        <v>2018</v>
      </c>
      <c r="I6" s="117">
        <f t="shared" si="0"/>
        <v>2019</v>
      </c>
      <c r="J6" s="117">
        <f t="shared" si="0"/>
        <v>2020</v>
      </c>
      <c r="K6" s="194">
        <f t="shared" si="0"/>
        <v>2021</v>
      </c>
      <c r="N6" s="128"/>
    </row>
    <row r="7" spans="1:30" s="2" customFormat="1">
      <c r="A7" s="33"/>
      <c r="B7" s="33"/>
      <c r="C7" s="314"/>
      <c r="D7" s="419"/>
      <c r="E7" s="419"/>
      <c r="F7" s="419"/>
      <c r="G7" s="419"/>
      <c r="H7" s="419"/>
      <c r="I7" s="419"/>
      <c r="J7" s="419"/>
      <c r="K7" s="419"/>
      <c r="L7" s="33"/>
      <c r="M7" s="33"/>
      <c r="N7" s="224"/>
    </row>
    <row r="8" spans="1:30" s="2" customFormat="1">
      <c r="B8" s="12" t="s">
        <v>318</v>
      </c>
      <c r="N8" s="128"/>
    </row>
    <row r="9" spans="1:30" s="2" customFormat="1">
      <c r="B9" s="358" t="s">
        <v>317</v>
      </c>
      <c r="C9" s="358"/>
      <c r="D9" s="358"/>
      <c r="E9" s="358"/>
      <c r="F9" s="358"/>
      <c r="G9" s="358"/>
      <c r="H9" s="358"/>
      <c r="I9" s="358"/>
      <c r="J9" s="358"/>
      <c r="K9" s="358"/>
      <c r="L9" s="358"/>
      <c r="N9" s="128"/>
    </row>
    <row r="10" spans="1:30" s="33" customFormat="1">
      <c r="B10" s="418"/>
      <c r="C10" s="418"/>
      <c r="D10" s="418"/>
      <c r="E10" s="418"/>
      <c r="F10" s="418"/>
      <c r="G10" s="418"/>
      <c r="H10" s="418"/>
      <c r="I10" s="418"/>
      <c r="J10" s="418"/>
      <c r="K10" s="418"/>
      <c r="L10" s="418"/>
      <c r="N10" s="224"/>
    </row>
    <row r="11" spans="1:30" s="2" customFormat="1">
      <c r="B11" s="199" t="s">
        <v>316</v>
      </c>
      <c r="C11" s="209" t="str">
        <f>'RFPR cover'!$C$14</f>
        <v>£m 09/10</v>
      </c>
      <c r="D11" s="704">
        <v>1216.9495280280767</v>
      </c>
      <c r="E11" s="705">
        <v>1411.0738752051172</v>
      </c>
      <c r="F11" s="705">
        <v>1578.8656278029841</v>
      </c>
      <c r="G11" s="705">
        <v>1729.8393827032999</v>
      </c>
      <c r="H11" s="705">
        <v>1793.2569076583725</v>
      </c>
      <c r="I11" s="705">
        <v>1832.7563258284358</v>
      </c>
      <c r="J11" s="705">
        <v>1845.5524725271723</v>
      </c>
      <c r="K11" s="706">
        <v>1829.064686206025</v>
      </c>
      <c r="N11" s="128"/>
    </row>
    <row r="12" spans="1:30" s="2" customFormat="1">
      <c r="N12" s="128"/>
    </row>
    <row r="13" spans="1:30" s="2" customFormat="1">
      <c r="B13" s="12" t="s">
        <v>319</v>
      </c>
      <c r="C13" s="1"/>
      <c r="D13" s="1"/>
      <c r="E13" s="1"/>
      <c r="F13" s="1"/>
      <c r="G13" s="1"/>
      <c r="H13" s="1"/>
      <c r="I13" s="1"/>
      <c r="J13" s="1"/>
      <c r="K13" s="1"/>
      <c r="N13" s="128"/>
    </row>
    <row r="14" spans="1:30" s="2" customFormat="1">
      <c r="B14" s="358" t="s">
        <v>341</v>
      </c>
      <c r="C14" s="315"/>
      <c r="D14" s="315"/>
      <c r="E14" s="315"/>
      <c r="F14" s="315"/>
      <c r="G14" s="315"/>
      <c r="H14" s="315"/>
      <c r="I14" s="315"/>
      <c r="J14" s="315"/>
      <c r="K14" s="315"/>
      <c r="L14" s="290"/>
      <c r="N14" s="128"/>
    </row>
    <row r="15" spans="1:30" s="33" customFormat="1">
      <c r="B15" s="418"/>
      <c r="C15" s="314"/>
      <c r="D15" s="314"/>
      <c r="E15" s="314"/>
      <c r="F15" s="314"/>
      <c r="G15" s="314"/>
      <c r="H15" s="314"/>
      <c r="I15" s="314"/>
      <c r="J15" s="314"/>
      <c r="K15" s="314"/>
      <c r="N15"/>
      <c r="O15"/>
      <c r="P15"/>
      <c r="Q15"/>
      <c r="R15"/>
      <c r="S15"/>
      <c r="T15"/>
      <c r="U15"/>
      <c r="V15"/>
      <c r="W15"/>
      <c r="X15"/>
      <c r="Y15"/>
      <c r="Z15"/>
      <c r="AA15"/>
      <c r="AB15"/>
      <c r="AC15"/>
      <c r="AD15"/>
    </row>
    <row r="16" spans="1:30" s="2" customFormat="1">
      <c r="B16" s="382" t="s">
        <v>320</v>
      </c>
      <c r="C16" s="209" t="str">
        <f>'RFPR cover'!$C$14</f>
        <v>£m 09/10</v>
      </c>
      <c r="D16" s="572">
        <v>1093.7563406645438</v>
      </c>
      <c r="E16" s="707">
        <f>D29</f>
        <v>1181.9693099883223</v>
      </c>
      <c r="F16" s="707">
        <f t="shared" ref="F16:K16" si="1">E29</f>
        <v>1323.4210669041802</v>
      </c>
      <c r="G16" s="707">
        <f t="shared" si="1"/>
        <v>1506.2427046232524</v>
      </c>
      <c r="H16" s="707">
        <f t="shared" si="1"/>
        <v>1727.2842693677385</v>
      </c>
      <c r="I16" s="707">
        <f t="shared" si="1"/>
        <v>1789.0977110693345</v>
      </c>
      <c r="J16" s="707">
        <f t="shared" si="1"/>
        <v>1799.2013388950829</v>
      </c>
      <c r="K16" s="575">
        <f t="shared" si="1"/>
        <v>1813.3735053283995</v>
      </c>
      <c r="N16"/>
      <c r="O16"/>
      <c r="P16"/>
      <c r="Q16"/>
      <c r="R16"/>
      <c r="S16"/>
      <c r="T16"/>
      <c r="U16"/>
      <c r="V16"/>
      <c r="W16"/>
      <c r="X16"/>
      <c r="Y16"/>
      <c r="Z16"/>
      <c r="AA16"/>
      <c r="AB16"/>
      <c r="AC16"/>
      <c r="AD16"/>
    </row>
    <row r="17" spans="2:30" s="2" customFormat="1">
      <c r="B17" s="382" t="s">
        <v>321</v>
      </c>
      <c r="C17" s="209" t="str">
        <f>'RFPR cover'!$C$14</f>
        <v>£m 09/10</v>
      </c>
      <c r="D17" s="580">
        <v>0</v>
      </c>
      <c r="E17" s="581">
        <v>0</v>
      </c>
      <c r="F17" s="581">
        <v>0</v>
      </c>
      <c r="G17" s="581">
        <v>68.521626053717185</v>
      </c>
      <c r="H17" s="581">
        <v>8.0710551923917446</v>
      </c>
      <c r="I17" s="581">
        <v>0</v>
      </c>
      <c r="J17" s="581">
        <v>0</v>
      </c>
      <c r="K17" s="674">
        <v>0</v>
      </c>
      <c r="N17"/>
      <c r="O17"/>
      <c r="P17"/>
      <c r="Q17"/>
      <c r="R17"/>
      <c r="S17"/>
      <c r="T17"/>
      <c r="U17"/>
      <c r="V17"/>
      <c r="W17"/>
      <c r="X17"/>
      <c r="Y17"/>
      <c r="Z17"/>
      <c r="AA17"/>
      <c r="AB17"/>
      <c r="AC17"/>
      <c r="AD17"/>
    </row>
    <row r="18" spans="2:30" s="2" customFormat="1">
      <c r="B18" s="12" t="s">
        <v>322</v>
      </c>
      <c r="C18" s="209" t="str">
        <f>'RFPR cover'!$C$14</f>
        <v>£m 09/10</v>
      </c>
      <c r="D18" s="708">
        <f>SUM(D16:D17)</f>
        <v>1093.7563406645438</v>
      </c>
      <c r="E18" s="709">
        <f t="shared" ref="E18:K18" si="2">SUM(E16:E17)</f>
        <v>1181.9693099883223</v>
      </c>
      <c r="F18" s="709">
        <f t="shared" si="2"/>
        <v>1323.4210669041802</v>
      </c>
      <c r="G18" s="709">
        <f t="shared" si="2"/>
        <v>1574.7643306769696</v>
      </c>
      <c r="H18" s="709">
        <f t="shared" si="2"/>
        <v>1735.3553245601302</v>
      </c>
      <c r="I18" s="709">
        <f t="shared" si="2"/>
        <v>1789.0977110693345</v>
      </c>
      <c r="J18" s="709">
        <f t="shared" si="2"/>
        <v>1799.2013388950829</v>
      </c>
      <c r="K18" s="710">
        <f t="shared" si="2"/>
        <v>1813.3735053283995</v>
      </c>
      <c r="N18"/>
      <c r="O18"/>
      <c r="P18"/>
      <c r="Q18"/>
      <c r="R18"/>
      <c r="S18"/>
      <c r="T18"/>
      <c r="U18"/>
      <c r="V18"/>
      <c r="W18"/>
      <c r="X18"/>
      <c r="Y18"/>
      <c r="Z18"/>
      <c r="AA18"/>
      <c r="AB18"/>
      <c r="AC18"/>
      <c r="AD18"/>
    </row>
    <row r="19" spans="2:30" s="2" customFormat="1">
      <c r="B19" s="384" t="s">
        <v>323</v>
      </c>
      <c r="C19" s="209" t="str">
        <f>'RFPR cover'!$C$14</f>
        <v>£m 09/10</v>
      </c>
      <c r="D19" s="576">
        <v>204.01374645769471</v>
      </c>
      <c r="E19" s="577">
        <v>282.02345130397549</v>
      </c>
      <c r="F19" s="577">
        <v>265.64041965750147</v>
      </c>
      <c r="G19" s="577">
        <v>192.97761644757787</v>
      </c>
      <c r="H19" s="577">
        <v>171.54060577191055</v>
      </c>
      <c r="I19" s="577">
        <v>159.1635842418813</v>
      </c>
      <c r="J19" s="577">
        <v>134.23621553928436</v>
      </c>
      <c r="K19" s="673">
        <v>106.91831901901259</v>
      </c>
      <c r="N19"/>
      <c r="O19"/>
      <c r="P19"/>
      <c r="Q19"/>
      <c r="R19"/>
      <c r="S19"/>
      <c r="T19"/>
      <c r="U19"/>
      <c r="V19"/>
      <c r="W19"/>
      <c r="X19"/>
      <c r="Y19"/>
      <c r="Z19"/>
      <c r="AA19"/>
      <c r="AB19"/>
      <c r="AC19"/>
      <c r="AD19"/>
    </row>
    <row r="20" spans="2:30" s="2" customFormat="1">
      <c r="B20" s="384" t="s">
        <v>330</v>
      </c>
      <c r="C20" s="209" t="str">
        <f>'RFPR cover'!$C$14</f>
        <v>£m 09/10</v>
      </c>
      <c r="D20" s="580">
        <v>-34.980218039754448</v>
      </c>
      <c r="E20" s="581">
        <v>-54.185248338577452</v>
      </c>
      <c r="F20" s="581">
        <v>11.453027107102798</v>
      </c>
      <c r="G20" s="581">
        <v>66.880842114564814</v>
      </c>
      <c r="H20" s="581">
        <v>-2.7331789180185808</v>
      </c>
      <c r="I20" s="581">
        <v>-30.601606820590462</v>
      </c>
      <c r="J20" s="581">
        <v>-0.61951562738843791</v>
      </c>
      <c r="K20" s="674">
        <v>96.067887937986484</v>
      </c>
      <c r="N20"/>
      <c r="O20"/>
      <c r="P20"/>
      <c r="Q20"/>
      <c r="R20"/>
      <c r="S20"/>
      <c r="T20"/>
      <c r="U20"/>
      <c r="V20"/>
      <c r="W20"/>
      <c r="X20"/>
      <c r="Y20"/>
      <c r="Z20"/>
      <c r="AA20"/>
      <c r="AB20"/>
      <c r="AC20"/>
      <c r="AD20"/>
    </row>
    <row r="21" spans="2:30" s="2" customFormat="1">
      <c r="B21" s="383" t="s">
        <v>326</v>
      </c>
      <c r="C21" s="209" t="str">
        <f>'RFPR cover'!$C$14</f>
        <v>£m 09/10</v>
      </c>
      <c r="D21" s="708">
        <f t="shared" ref="D21:K21" si="3">SUM(D19:D20)</f>
        <v>169.03352841794026</v>
      </c>
      <c r="E21" s="709">
        <f t="shared" si="3"/>
        <v>227.83820296539804</v>
      </c>
      <c r="F21" s="709">
        <f t="shared" si="3"/>
        <v>277.09344676460427</v>
      </c>
      <c r="G21" s="709">
        <f t="shared" si="3"/>
        <v>259.85845856214269</v>
      </c>
      <c r="H21" s="709">
        <f t="shared" si="3"/>
        <v>168.80742685389197</v>
      </c>
      <c r="I21" s="709">
        <f t="shared" si="3"/>
        <v>128.56197742129083</v>
      </c>
      <c r="J21" s="709">
        <f t="shared" si="3"/>
        <v>133.61669991189592</v>
      </c>
      <c r="K21" s="710">
        <f t="shared" si="3"/>
        <v>202.98620695699907</v>
      </c>
      <c r="N21"/>
      <c r="O21"/>
      <c r="P21"/>
      <c r="Q21"/>
      <c r="R21"/>
      <c r="S21"/>
      <c r="T21"/>
      <c r="U21"/>
      <c r="V21"/>
      <c r="W21"/>
      <c r="X21"/>
      <c r="Y21"/>
      <c r="Z21"/>
      <c r="AA21"/>
      <c r="AB21"/>
      <c r="AC21"/>
      <c r="AD21"/>
    </row>
    <row r="22" spans="2:30" s="2" customFormat="1">
      <c r="B22" s="384" t="s">
        <v>324</v>
      </c>
      <c r="C22" s="209" t="str">
        <f>'RFPR cover'!$C$14</f>
        <v>£m 09/10</v>
      </c>
      <c r="D22" s="576">
        <v>-80.820559094161823</v>
      </c>
      <c r="E22" s="577">
        <v>-87.899104126934844</v>
      </c>
      <c r="F22" s="577">
        <v>-97.848667059634664</v>
      </c>
      <c r="G22" s="577">
        <v>-110.52548760097913</v>
      </c>
      <c r="H22" s="577">
        <v>-116.19413600922942</v>
      </c>
      <c r="I22" s="577">
        <v>-119.66416607181804</v>
      </c>
      <c r="J22" s="577">
        <v>-121.44006884054787</v>
      </c>
      <c r="K22" s="673">
        <v>-123.40610534016002</v>
      </c>
      <c r="N22"/>
      <c r="O22"/>
      <c r="P22"/>
      <c r="Q22"/>
      <c r="R22"/>
      <c r="S22"/>
      <c r="T22"/>
      <c r="U22"/>
      <c r="V22"/>
      <c r="W22"/>
      <c r="X22"/>
      <c r="Y22"/>
      <c r="Z22"/>
      <c r="AA22"/>
      <c r="AB22"/>
      <c r="AC22"/>
      <c r="AD22"/>
    </row>
    <row r="23" spans="2:30" s="2" customFormat="1">
      <c r="B23" s="384" t="s">
        <v>325</v>
      </c>
      <c r="C23" s="209" t="str">
        <f>'RFPR cover'!$C$14</f>
        <v>£m 09/10</v>
      </c>
      <c r="D23" s="580">
        <v>0</v>
      </c>
      <c r="E23" s="581">
        <v>1.5126580773947869</v>
      </c>
      <c r="F23" s="581">
        <v>3.5768580141024993</v>
      </c>
      <c r="G23" s="581">
        <v>3.1869677296053829</v>
      </c>
      <c r="H23" s="581">
        <v>1.12909566454185</v>
      </c>
      <c r="I23" s="581">
        <v>1.2058164762757049</v>
      </c>
      <c r="J23" s="581">
        <v>1.9955353619683618</v>
      </c>
      <c r="K23" s="674">
        <v>2.0103297650104737</v>
      </c>
      <c r="N23"/>
      <c r="O23"/>
      <c r="P23"/>
      <c r="Q23"/>
      <c r="R23"/>
      <c r="S23"/>
      <c r="T23"/>
      <c r="U23"/>
      <c r="V23"/>
      <c r="W23"/>
      <c r="X23"/>
      <c r="Y23"/>
      <c r="Z23"/>
      <c r="AA23"/>
      <c r="AB23"/>
      <c r="AC23"/>
      <c r="AD23"/>
    </row>
    <row r="24" spans="2:30" s="2" customFormat="1">
      <c r="B24" s="383" t="s">
        <v>327</v>
      </c>
      <c r="C24" s="209" t="str">
        <f>'RFPR cover'!$C$14</f>
        <v>£m 09/10</v>
      </c>
      <c r="D24" s="708">
        <f t="shared" ref="D24:K24" si="4">SUM(D22:D23)</f>
        <v>-80.820559094161823</v>
      </c>
      <c r="E24" s="709">
        <f t="shared" si="4"/>
        <v>-86.386446049540055</v>
      </c>
      <c r="F24" s="709">
        <f t="shared" si="4"/>
        <v>-94.271809045532166</v>
      </c>
      <c r="G24" s="709">
        <f t="shared" si="4"/>
        <v>-107.33851987137375</v>
      </c>
      <c r="H24" s="709">
        <f t="shared" si="4"/>
        <v>-115.06504034468757</v>
      </c>
      <c r="I24" s="709">
        <f t="shared" si="4"/>
        <v>-118.45834959554234</v>
      </c>
      <c r="J24" s="709">
        <f t="shared" si="4"/>
        <v>-119.4445334785795</v>
      </c>
      <c r="K24" s="710">
        <f t="shared" si="4"/>
        <v>-121.39577557514956</v>
      </c>
      <c r="N24"/>
      <c r="O24"/>
      <c r="P24"/>
      <c r="Q24"/>
      <c r="R24"/>
      <c r="S24"/>
      <c r="T24"/>
      <c r="U24"/>
      <c r="V24"/>
      <c r="W24"/>
      <c r="X24"/>
      <c r="Y24"/>
      <c r="Z24"/>
      <c r="AA24"/>
      <c r="AB24"/>
      <c r="AC24"/>
      <c r="AD24"/>
    </row>
    <row r="25" spans="2:30" s="2" customFormat="1">
      <c r="B25" s="385" t="s">
        <v>263</v>
      </c>
      <c r="C25" s="209" t="str">
        <f>'RFPR cover'!$C$14</f>
        <v>£m 09/10</v>
      </c>
      <c r="D25" s="711"/>
      <c r="E25" s="712"/>
      <c r="F25" s="712"/>
      <c r="G25" s="712"/>
      <c r="H25" s="712"/>
      <c r="I25" s="712"/>
      <c r="J25" s="712"/>
      <c r="K25" s="713"/>
      <c r="N25"/>
      <c r="O25"/>
      <c r="P25"/>
      <c r="Q25"/>
      <c r="R25"/>
      <c r="S25"/>
      <c r="T25"/>
      <c r="U25"/>
      <c r="V25"/>
      <c r="W25"/>
      <c r="X25"/>
      <c r="Y25"/>
      <c r="Z25"/>
      <c r="AA25"/>
      <c r="AB25"/>
      <c r="AC25"/>
      <c r="AD25"/>
    </row>
    <row r="26" spans="2:30" s="2" customFormat="1">
      <c r="B26" s="385" t="s">
        <v>263</v>
      </c>
      <c r="C26" s="209" t="str">
        <f>'RFPR cover'!$C$14</f>
        <v>£m 09/10</v>
      </c>
      <c r="D26" s="711"/>
      <c r="E26" s="712"/>
      <c r="F26" s="712"/>
      <c r="G26" s="712"/>
      <c r="H26" s="712"/>
      <c r="I26" s="712"/>
      <c r="J26" s="712"/>
      <c r="K26" s="713"/>
      <c r="N26"/>
      <c r="O26"/>
      <c r="P26"/>
      <c r="Q26"/>
      <c r="R26"/>
      <c r="S26"/>
      <c r="T26"/>
      <c r="U26"/>
      <c r="V26"/>
      <c r="W26"/>
      <c r="X26"/>
      <c r="Y26"/>
      <c r="Z26"/>
      <c r="AA26"/>
      <c r="AB26"/>
      <c r="AC26"/>
      <c r="AD26"/>
    </row>
    <row r="27" spans="2:30" s="2" customFormat="1">
      <c r="B27" s="385" t="s">
        <v>263</v>
      </c>
      <c r="C27" s="209" t="str">
        <f>'RFPR cover'!$C$14</f>
        <v>£m 09/10</v>
      </c>
      <c r="D27" s="711"/>
      <c r="E27" s="712"/>
      <c r="F27" s="712"/>
      <c r="G27" s="712"/>
      <c r="H27" s="712"/>
      <c r="I27" s="712"/>
      <c r="J27" s="712"/>
      <c r="K27" s="713"/>
      <c r="N27"/>
      <c r="O27"/>
      <c r="P27"/>
      <c r="Q27"/>
      <c r="R27"/>
      <c r="S27"/>
      <c r="T27"/>
      <c r="U27"/>
      <c r="V27"/>
      <c r="W27"/>
      <c r="X27"/>
      <c r="Y27"/>
      <c r="Z27"/>
      <c r="AA27"/>
      <c r="AB27"/>
      <c r="AC27"/>
      <c r="AD27"/>
    </row>
    <row r="28" spans="2:30" s="2" customFormat="1">
      <c r="B28" s="383" t="s">
        <v>328</v>
      </c>
      <c r="C28" s="209" t="str">
        <f>'RFPR cover'!$C$14</f>
        <v>£m 09/10</v>
      </c>
      <c r="D28" s="714">
        <f>SUM(D25:D27)</f>
        <v>0</v>
      </c>
      <c r="E28" s="715">
        <f t="shared" ref="E28:K28" si="5">SUM(E25:E27)</f>
        <v>0</v>
      </c>
      <c r="F28" s="715">
        <f t="shared" si="5"/>
        <v>0</v>
      </c>
      <c r="G28" s="715">
        <f t="shared" si="5"/>
        <v>0</v>
      </c>
      <c r="H28" s="715">
        <f t="shared" si="5"/>
        <v>0</v>
      </c>
      <c r="I28" s="715">
        <f t="shared" si="5"/>
        <v>0</v>
      </c>
      <c r="J28" s="715">
        <f t="shared" si="5"/>
        <v>0</v>
      </c>
      <c r="K28" s="716">
        <f t="shared" si="5"/>
        <v>0</v>
      </c>
      <c r="N28"/>
      <c r="O28"/>
      <c r="P28"/>
      <c r="Q28"/>
      <c r="R28"/>
      <c r="S28"/>
      <c r="T28"/>
      <c r="U28"/>
      <c r="V28"/>
      <c r="W28"/>
      <c r="X28"/>
      <c r="Y28"/>
      <c r="Z28"/>
      <c r="AA28"/>
      <c r="AB28"/>
      <c r="AC28"/>
      <c r="AD28"/>
    </row>
    <row r="29" spans="2:30" s="2" customFormat="1">
      <c r="B29" s="12" t="s">
        <v>329</v>
      </c>
      <c r="C29" s="209" t="str">
        <f>'RFPR cover'!$C$14</f>
        <v>£m 09/10</v>
      </c>
      <c r="D29" s="717">
        <f>D18+D21+D24+D28</f>
        <v>1181.9693099883223</v>
      </c>
      <c r="E29" s="718">
        <f t="shared" ref="E29:K29" si="6">E18+E21+E24+E28</f>
        <v>1323.4210669041802</v>
      </c>
      <c r="F29" s="718">
        <f t="shared" si="6"/>
        <v>1506.2427046232524</v>
      </c>
      <c r="G29" s="718">
        <f t="shared" si="6"/>
        <v>1727.2842693677385</v>
      </c>
      <c r="H29" s="718">
        <f t="shared" si="6"/>
        <v>1789.0977110693345</v>
      </c>
      <c r="I29" s="718">
        <f t="shared" si="6"/>
        <v>1799.2013388950829</v>
      </c>
      <c r="J29" s="718">
        <f t="shared" si="6"/>
        <v>1813.3735053283995</v>
      </c>
      <c r="K29" s="719">
        <f t="shared" si="6"/>
        <v>1894.9639367102488</v>
      </c>
      <c r="N29"/>
      <c r="O29"/>
      <c r="P29"/>
      <c r="Q29"/>
      <c r="R29"/>
      <c r="S29"/>
      <c r="T29"/>
      <c r="U29"/>
      <c r="V29"/>
      <c r="W29"/>
      <c r="X29"/>
      <c r="Y29"/>
      <c r="Z29"/>
      <c r="AA29"/>
      <c r="AB29"/>
      <c r="AC29"/>
      <c r="AD29"/>
    </row>
    <row r="30" spans="2:30" s="2" customFormat="1">
      <c r="B30" s="12"/>
      <c r="C30" s="209"/>
      <c r="D30" s="209"/>
      <c r="E30" s="209"/>
      <c r="F30" s="209"/>
      <c r="G30" s="209"/>
      <c r="H30" s="209"/>
      <c r="I30" s="209"/>
      <c r="J30" s="209"/>
      <c r="K30" s="209"/>
      <c r="L30" s="209"/>
      <c r="N30"/>
      <c r="O30"/>
      <c r="P30"/>
      <c r="Q30"/>
      <c r="R30"/>
      <c r="S30"/>
      <c r="T30"/>
      <c r="U30"/>
      <c r="V30"/>
      <c r="W30"/>
      <c r="X30"/>
      <c r="Y30"/>
      <c r="Z30"/>
      <c r="AA30"/>
      <c r="AB30"/>
      <c r="AC30"/>
      <c r="AD30"/>
    </row>
    <row r="31" spans="2:30" s="2" customFormat="1">
      <c r="B31" s="12" t="s">
        <v>492</v>
      </c>
      <c r="C31" s="209" t="str">
        <f>'RFPR cover'!$C$14</f>
        <v>£m 09/10</v>
      </c>
      <c r="D31" s="717">
        <f t="shared" ref="D31:K31" si="7">(D20+D23+D28)</f>
        <v>-34.980218039754448</v>
      </c>
      <c r="E31" s="717">
        <f t="shared" si="7"/>
        <v>-52.672590261182663</v>
      </c>
      <c r="F31" s="717">
        <f t="shared" si="7"/>
        <v>15.029885121205297</v>
      </c>
      <c r="G31" s="717">
        <f t="shared" si="7"/>
        <v>70.067809844170199</v>
      </c>
      <c r="H31" s="717">
        <f t="shared" si="7"/>
        <v>-1.6040832534767309</v>
      </c>
      <c r="I31" s="717">
        <f t="shared" si="7"/>
        <v>-29.395790344314758</v>
      </c>
      <c r="J31" s="717">
        <f t="shared" si="7"/>
        <v>1.3760197345799239</v>
      </c>
      <c r="K31" s="717">
        <f t="shared" si="7"/>
        <v>98.078217702996952</v>
      </c>
      <c r="L31" s="209"/>
      <c r="N31"/>
      <c r="O31"/>
      <c r="P31"/>
      <c r="Q31"/>
      <c r="R31"/>
      <c r="S31"/>
      <c r="T31"/>
      <c r="U31"/>
      <c r="V31"/>
      <c r="W31"/>
      <c r="X31"/>
      <c r="Y31"/>
      <c r="Z31"/>
      <c r="AA31"/>
      <c r="AB31"/>
      <c r="AC31"/>
      <c r="AD31"/>
    </row>
    <row r="32" spans="2:30" s="2" customFormat="1">
      <c r="B32" s="12" t="s">
        <v>493</v>
      </c>
      <c r="C32" s="209"/>
      <c r="D32" s="505" t="str">
        <f>IF(D5="Actuals",IF(ABS((D29-SUM($D$31:D31))-D11)&lt;'RFPR cover'!$F$14,"TRUE","FALSE"),"NA")</f>
        <v>TRUE</v>
      </c>
      <c r="E32" s="505" t="str">
        <f>IF(E5="Actuals",IF(ABS((E29-SUM($D$31:E31))-E11)&lt;'RFPR cover'!$F$14,"TRUE","FALSE"),"NA")</f>
        <v>TRUE</v>
      </c>
      <c r="F32" s="505" t="str">
        <f>IF(F5="Actuals",IF(ABS((F29-SUM($D$31:F31))-F11)&lt;'RFPR cover'!$F$14,"TRUE","FALSE"),"NA")</f>
        <v>TRUE</v>
      </c>
      <c r="G32" s="505" t="str">
        <f>IF(G5="Actuals",IF(ABS((G29-SUM($D$31:G31))-G11)&lt;'RFPR cover'!$F$14,"TRUE","FALSE"),"NA")</f>
        <v>TRUE</v>
      </c>
      <c r="H32" s="505" t="str">
        <f>IF(H5="Actuals",IF(ABS((H29-SUM($D$31:H31))-H11)&lt;'RFPR cover'!$F$14,"TRUE","FALSE"),"NA")</f>
        <v>TRUE</v>
      </c>
      <c r="I32" s="505" t="str">
        <f>IF(I5="Actuals",IF(ABS((I29-SUM($D$31:I31))-I11)&lt;'RFPR cover'!$F$14,"TRUE","FALSE"),"NA")</f>
        <v>TRUE</v>
      </c>
      <c r="J32" s="505" t="str">
        <f>IF(J5="Actuals",IF(ABS((J29-SUM($D$31:J31))-J11)&lt;'RFPR cover'!$F$14,"TRUE","FALSE"),"NA")</f>
        <v>NA</v>
      </c>
      <c r="K32" s="505" t="str">
        <f>IF(K5="Actuals",IF(ABS((K29-SUM($D$31:K31))-K11)&lt;'RFPR cover'!$F$14,"TRUE","FALSE"),"NA")</f>
        <v>NA</v>
      </c>
      <c r="L32" s="209"/>
      <c r="N32"/>
      <c r="O32"/>
      <c r="P32"/>
      <c r="Q32"/>
      <c r="R32"/>
      <c r="S32"/>
      <c r="T32"/>
      <c r="U32"/>
      <c r="V32"/>
      <c r="W32"/>
      <c r="X32"/>
      <c r="Y32"/>
      <c r="Z32"/>
      <c r="AA32"/>
      <c r="AB32"/>
      <c r="AC32"/>
      <c r="AD32"/>
    </row>
    <row r="33" spans="2:14" s="33" customFormat="1">
      <c r="B33" s="49"/>
      <c r="C33" s="467"/>
      <c r="D33" s="468"/>
      <c r="E33" s="468"/>
      <c r="F33" s="468"/>
      <c r="G33" s="468"/>
      <c r="H33" s="468"/>
      <c r="I33" s="468"/>
      <c r="J33" s="468"/>
      <c r="K33" s="468"/>
      <c r="N33" s="224"/>
    </row>
    <row r="34" spans="2:14" s="33" customFormat="1">
      <c r="B34" s="49" t="s">
        <v>39</v>
      </c>
      <c r="C34" s="266" t="s">
        <v>124</v>
      </c>
      <c r="D34" s="111">
        <f>Data!C$35</f>
        <v>1.1829890576408812</v>
      </c>
      <c r="E34" s="111">
        <f>Data!D$35</f>
        <v>1.1936487043894572</v>
      </c>
      <c r="F34" s="111">
        <f>Data!E$35</f>
        <v>1.2107968317676012</v>
      </c>
      <c r="G34" s="111">
        <f>Data!F$35</f>
        <v>1.2511181042513455</v>
      </c>
      <c r="H34" s="111">
        <f>Data!G$35</f>
        <v>1.2930614968924812</v>
      </c>
      <c r="I34" s="111">
        <f>Data!H$35</f>
        <v>1.3285164089040491</v>
      </c>
      <c r="J34" s="111">
        <f>Data!I$35</f>
        <v>1.3623935773311024</v>
      </c>
      <c r="K34" s="111">
        <f>Data!J$35</f>
        <v>1.3961128183700473</v>
      </c>
      <c r="N34" s="224"/>
    </row>
    <row r="35" spans="2:14" s="29" customFormat="1">
      <c r="B35" s="35" t="s">
        <v>357</v>
      </c>
      <c r="C35" s="266" t="s">
        <v>124</v>
      </c>
      <c r="D35" s="111">
        <f>Data!C$34</f>
        <v>1.1666890673736021</v>
      </c>
      <c r="E35" s="112">
        <f>Data!D$34</f>
        <v>1.1895563269638081</v>
      </c>
      <c r="F35" s="112">
        <f>Data!E$34</f>
        <v>1.2023757108362261</v>
      </c>
      <c r="G35" s="112">
        <f>Data!F$34</f>
        <v>1.2281396135646323</v>
      </c>
      <c r="H35" s="112">
        <f>Data!G$34</f>
        <v>1.2740965949380583</v>
      </c>
      <c r="I35" s="112">
        <f>Data!H$34</f>
        <v>1.3130274787154661</v>
      </c>
      <c r="J35" s="112">
        <f>Data!I$34</f>
        <v>1.3470178479563604</v>
      </c>
      <c r="K35" s="113">
        <f>Data!J$34</f>
        <v>1.3803565396932804</v>
      </c>
      <c r="L35" s="233"/>
      <c r="N35" s="211"/>
    </row>
    <row r="36" spans="2:14" s="29" customFormat="1">
      <c r="B36" s="170" t="s">
        <v>490</v>
      </c>
      <c r="C36" s="266" t="s">
        <v>124</v>
      </c>
      <c r="D36" s="861">
        <f>INDEX(Data!$F$14:$F$30,MATCH($D$6-1,Data!$C$14:$C$30,0),0)/IF('RFPR cover'!$C$6="ED1",Data!$E$17,Data!$E$14)</f>
        <v>1.1544860891609932</v>
      </c>
      <c r="E36" s="862"/>
      <c r="F36" s="862"/>
      <c r="G36" s="862"/>
      <c r="H36" s="862"/>
      <c r="I36" s="862"/>
      <c r="J36" s="862"/>
      <c r="K36" s="862"/>
      <c r="L36" s="233"/>
      <c r="N36" s="211"/>
    </row>
    <row r="37" spans="2:14" s="33" customFormat="1">
      <c r="B37" s="49"/>
      <c r="C37" s="467"/>
      <c r="D37" s="468"/>
      <c r="E37" s="468"/>
      <c r="F37" s="468"/>
      <c r="G37" s="468"/>
      <c r="H37" s="468"/>
      <c r="I37" s="468"/>
      <c r="J37" s="468"/>
      <c r="K37" s="468"/>
      <c r="N37" s="224"/>
    </row>
    <row r="38" spans="2:14" s="2" customFormat="1">
      <c r="B38" s="12" t="s">
        <v>329</v>
      </c>
      <c r="C38" s="265" t="s">
        <v>125</v>
      </c>
      <c r="D38" s="717">
        <f t="shared" ref="D38:K38" si="8">D29*D34</f>
        <v>1398.2567601835281</v>
      </c>
      <c r="E38" s="717">
        <f t="shared" si="8"/>
        <v>1579.6998418718879</v>
      </c>
      <c r="F38" s="717">
        <f t="shared" si="8"/>
        <v>1823.7538946308969</v>
      </c>
      <c r="G38" s="717">
        <f t="shared" si="8"/>
        <v>2161.0366205945352</v>
      </c>
      <c r="H38" s="717">
        <f t="shared" si="8"/>
        <v>2313.4133643622254</v>
      </c>
      <c r="I38" s="717">
        <f t="shared" si="8"/>
        <v>2390.2685016442524</v>
      </c>
      <c r="J38" s="717">
        <f t="shared" si="8"/>
        <v>2470.5284169617989</v>
      </c>
      <c r="K38" s="717">
        <f t="shared" si="8"/>
        <v>2645.5834423901456</v>
      </c>
      <c r="N38" s="128"/>
    </row>
    <row r="39" spans="2:14" s="2" customFormat="1">
      <c r="B39" s="12"/>
      <c r="C39" s="209"/>
      <c r="D39" s="209"/>
      <c r="E39" s="209"/>
      <c r="F39" s="209"/>
      <c r="G39" s="209"/>
      <c r="H39" s="209"/>
      <c r="I39" s="209"/>
      <c r="J39" s="209"/>
      <c r="K39" s="209"/>
      <c r="N39" s="128"/>
    </row>
    <row r="40" spans="2:14" s="2" customFormat="1">
      <c r="B40" s="496" t="s">
        <v>332</v>
      </c>
      <c r="C40" s="209" t="s">
        <v>335</v>
      </c>
      <c r="D40" s="398">
        <f>INDEX(Data!$K$73:$T$100,MATCH('RFPR cover'!$C$5,Data!$B$73:$B$100,0),MATCH('R9 - RAV'!D$6,Data!$K$72:$T$72,0))</f>
        <v>2.92E-2</v>
      </c>
      <c r="E40" s="399">
        <f>INDEX(Data!$K$73:$T$100,MATCH('RFPR cover'!$C$5,Data!$B$73:$B$100,0),MATCH('R9 - RAV'!E$6,Data!$K$72:$T$72,0))</f>
        <v>2.7199999999999998E-2</v>
      </c>
      <c r="F40" s="399">
        <f>INDEX(Data!$K$73:$T$100,MATCH('RFPR cover'!$C$5,Data!$B$73:$B$100,0),MATCH('R9 - RAV'!F$6,Data!$K$72:$T$72,0))</f>
        <v>2.5499999999999998E-2</v>
      </c>
      <c r="G40" s="399">
        <f>INDEX(Data!$K$73:$T$100,MATCH('RFPR cover'!$C$5,Data!$B$73:$B$100,0),MATCH('R9 - RAV'!G$6,Data!$K$72:$T$72,0))</f>
        <v>2.3800000000000002E-2</v>
      </c>
      <c r="H40" s="399">
        <f>INDEX(Data!$K$73:$T$100,MATCH('RFPR cover'!$C$5,Data!$B$73:$B$100,0),MATCH('R9 - RAV'!H$6,Data!$K$72:$T$72,0))</f>
        <v>2.2200000000000001E-2</v>
      </c>
      <c r="I40" s="399">
        <f>INDEX(Data!$K$73:$T$100,MATCH('RFPR cover'!$C$5,Data!$B$73:$B$100,0),MATCH('R9 - RAV'!I$6,Data!$K$72:$T$72,0))</f>
        <v>1.9099999999999999E-2</v>
      </c>
      <c r="J40" s="399">
        <f>INDEX(Data!$K$73:$T$100,MATCH('RFPR cover'!$C$5,Data!$B$73:$B$100,0),MATCH('R9 - RAV'!J$6,Data!$K$72:$T$72,0))</f>
        <v>1.5800000000000002E-2</v>
      </c>
      <c r="K40" s="400">
        <f>INDEX(Data!$K$73:$T$100,MATCH('RFPR cover'!$C$5,Data!$B$73:$B$100,0),MATCH('R9 - RAV'!K$6,Data!$K$72:$T$72,0))</f>
        <v>1.09E-2</v>
      </c>
      <c r="N40" s="128"/>
    </row>
    <row r="41" spans="2:14" s="2" customFormat="1">
      <c r="B41" s="496" t="s">
        <v>333</v>
      </c>
      <c r="C41" s="209" t="s">
        <v>335</v>
      </c>
      <c r="D41" s="401">
        <f>'RFPR cover'!$C$10</f>
        <v>7.0000000000000007E-2</v>
      </c>
      <c r="E41" s="402">
        <f>'RFPR cover'!$C$10</f>
        <v>7.0000000000000007E-2</v>
      </c>
      <c r="F41" s="402">
        <f>'RFPR cover'!$C$10</f>
        <v>7.0000000000000007E-2</v>
      </c>
      <c r="G41" s="402">
        <f>'RFPR cover'!$C$10</f>
        <v>7.0000000000000007E-2</v>
      </c>
      <c r="H41" s="402">
        <f>'RFPR cover'!$C$10</f>
        <v>7.0000000000000007E-2</v>
      </c>
      <c r="I41" s="402">
        <f>'RFPR cover'!$C$10</f>
        <v>7.0000000000000007E-2</v>
      </c>
      <c r="J41" s="402">
        <f>'RFPR cover'!$C$10</f>
        <v>7.0000000000000007E-2</v>
      </c>
      <c r="K41" s="403">
        <f>'RFPR cover'!$C$10</f>
        <v>7.0000000000000007E-2</v>
      </c>
      <c r="N41" s="128"/>
    </row>
    <row r="42" spans="2:14" s="2" customFormat="1">
      <c r="B42" s="496" t="s">
        <v>334</v>
      </c>
      <c r="C42" s="209" t="s">
        <v>7</v>
      </c>
      <c r="D42" s="404">
        <f>'RFPR cover'!$C$12</f>
        <v>0.55000000000000004</v>
      </c>
      <c r="E42" s="405">
        <f>'RFPR cover'!$C$12</f>
        <v>0.55000000000000004</v>
      </c>
      <c r="F42" s="405">
        <f>'RFPR cover'!$C$12</f>
        <v>0.55000000000000004</v>
      </c>
      <c r="G42" s="405">
        <f>'RFPR cover'!$C$12</f>
        <v>0.55000000000000004</v>
      </c>
      <c r="H42" s="405">
        <f>'RFPR cover'!$C$12</f>
        <v>0.55000000000000004</v>
      </c>
      <c r="I42" s="405">
        <f>'RFPR cover'!$C$12</f>
        <v>0.55000000000000004</v>
      </c>
      <c r="J42" s="405">
        <f>'RFPR cover'!$C$12</f>
        <v>0.55000000000000004</v>
      </c>
      <c r="K42" s="406">
        <f>'RFPR cover'!$C$12</f>
        <v>0.55000000000000004</v>
      </c>
      <c r="N42" s="128"/>
    </row>
    <row r="43" spans="2:14">
      <c r="B43" s="199" t="s">
        <v>268</v>
      </c>
      <c r="C43" s="386" t="s">
        <v>335</v>
      </c>
      <c r="D43" s="395">
        <f t="shared" ref="D43:K43" si="9">D40*D42+D41*(1-D42)</f>
        <v>4.7560000000000005E-2</v>
      </c>
      <c r="E43" s="396">
        <f t="shared" si="9"/>
        <v>4.6460000000000001E-2</v>
      </c>
      <c r="F43" s="396">
        <f t="shared" si="9"/>
        <v>4.5525000000000003E-2</v>
      </c>
      <c r="G43" s="396">
        <f t="shared" si="9"/>
        <v>4.4590000000000005E-2</v>
      </c>
      <c r="H43" s="396">
        <f t="shared" si="9"/>
        <v>4.3709999999999999E-2</v>
      </c>
      <c r="I43" s="396">
        <f t="shared" si="9"/>
        <v>4.2005000000000001E-2</v>
      </c>
      <c r="J43" s="396">
        <f t="shared" si="9"/>
        <v>4.0190000000000003E-2</v>
      </c>
      <c r="K43" s="397">
        <f t="shared" si="9"/>
        <v>3.7495000000000001E-2</v>
      </c>
      <c r="L43" s="210"/>
    </row>
    <row r="44" spans="2:14">
      <c r="C44" s="222"/>
      <c r="D44" s="217"/>
      <c r="E44" s="217"/>
      <c r="F44" s="217"/>
      <c r="G44" s="217"/>
      <c r="H44" s="217"/>
      <c r="I44" s="217"/>
      <c r="J44" s="217"/>
      <c r="K44" s="217"/>
    </row>
    <row r="45" spans="2:14">
      <c r="B45" s="361" t="s">
        <v>336</v>
      </c>
      <c r="C45" s="386" t="str">
        <f>'RFPR cover'!$C$14</f>
        <v>£m 09/10</v>
      </c>
      <c r="D45" s="94">
        <f t="shared" ref="D45:K45" si="10">D47*D42</f>
        <v>611.06742631361431</v>
      </c>
      <c r="E45" s="95">
        <f t="shared" si="10"/>
        <v>672.82436455717755</v>
      </c>
      <c r="F45" s="95">
        <f t="shared" si="10"/>
        <v>760.12141439900302</v>
      </c>
      <c r="G45" s="95">
        <f t="shared" si="10"/>
        <v>868.9436453080051</v>
      </c>
      <c r="H45" s="95">
        <f t="shared" si="10"/>
        <v>946.40027724086463</v>
      </c>
      <c r="I45" s="95">
        <f t="shared" si="10"/>
        <v>966.83679762805207</v>
      </c>
      <c r="J45" s="95">
        <f t="shared" si="10"/>
        <v>974.19058552693332</v>
      </c>
      <c r="K45" s="96">
        <f t="shared" si="10"/>
        <v>1000.9597322837774</v>
      </c>
    </row>
    <row r="46" spans="2:14">
      <c r="B46" s="361" t="s">
        <v>228</v>
      </c>
      <c r="C46" s="386" t="str">
        <f>'RFPR cover'!$C$14</f>
        <v>£m 09/10</v>
      </c>
      <c r="D46" s="511">
        <f t="shared" ref="D46:K46" si="11">D47*(1-D42)</f>
        <v>499.96425789295705</v>
      </c>
      <c r="E46" s="512">
        <f t="shared" si="11"/>
        <v>550.49266191041795</v>
      </c>
      <c r="F46" s="512">
        <f t="shared" si="11"/>
        <v>621.91752087191139</v>
      </c>
      <c r="G46" s="512">
        <f t="shared" si="11"/>
        <v>710.95389161564037</v>
      </c>
      <c r="H46" s="512">
        <f t="shared" si="11"/>
        <v>774.32749956070734</v>
      </c>
      <c r="I46" s="512">
        <f t="shared" si="11"/>
        <v>791.04828896840615</v>
      </c>
      <c r="J46" s="512">
        <f t="shared" si="11"/>
        <v>797.06502452203631</v>
      </c>
      <c r="K46" s="513">
        <f t="shared" si="11"/>
        <v>818.96705368672679</v>
      </c>
    </row>
    <row r="47" spans="2:14">
      <c r="B47" s="199" t="s">
        <v>227</v>
      </c>
      <c r="C47" s="209" t="str">
        <f>'RFPR cover'!$C$14</f>
        <v>£m 09/10</v>
      </c>
      <c r="D47" s="101">
        <f t="shared" ref="D47:K47" si="12">AVERAGE(D16,D29*(1/(1+D43)))</f>
        <v>1111.0316842065713</v>
      </c>
      <c r="E47" s="102">
        <f t="shared" si="12"/>
        <v>1223.3170264675955</v>
      </c>
      <c r="F47" s="102">
        <f t="shared" si="12"/>
        <v>1382.0389352709144</v>
      </c>
      <c r="G47" s="102">
        <f t="shared" si="12"/>
        <v>1579.8975369236455</v>
      </c>
      <c r="H47" s="102">
        <f t="shared" si="12"/>
        <v>1720.727776801572</v>
      </c>
      <c r="I47" s="102">
        <f t="shared" si="12"/>
        <v>1757.8850865964582</v>
      </c>
      <c r="J47" s="102">
        <f t="shared" si="12"/>
        <v>1771.2556100489696</v>
      </c>
      <c r="K47" s="103">
        <f t="shared" si="12"/>
        <v>1819.9267859705042</v>
      </c>
      <c r="N47" s="213"/>
    </row>
    <row r="48" spans="2:14">
      <c r="B48" s="199"/>
      <c r="C48" s="209"/>
      <c r="D48" s="209"/>
      <c r="E48" s="209"/>
      <c r="F48" s="209"/>
      <c r="G48" s="209"/>
      <c r="H48" s="209"/>
      <c r="I48" s="209"/>
      <c r="J48" s="209"/>
      <c r="K48" s="209"/>
      <c r="N48" s="213"/>
    </row>
    <row r="49" spans="2:14">
      <c r="B49" s="361" t="s">
        <v>337</v>
      </c>
      <c r="C49" s="386" t="str">
        <f>'RFPR cover'!$C$14</f>
        <v>£m 09/10</v>
      </c>
      <c r="D49" s="720">
        <f>D40*D45</f>
        <v>17.843168848357539</v>
      </c>
      <c r="E49" s="721">
        <f t="shared" ref="D49:K50" si="13">E40*E45</f>
        <v>18.300822715955228</v>
      </c>
      <c r="F49" s="721">
        <f t="shared" si="13"/>
        <v>19.383096067174577</v>
      </c>
      <c r="G49" s="721">
        <f t="shared" si="13"/>
        <v>20.680858758330523</v>
      </c>
      <c r="H49" s="721">
        <f t="shared" si="13"/>
        <v>21.010086154747196</v>
      </c>
      <c r="I49" s="721">
        <f t="shared" si="13"/>
        <v>18.466582834695792</v>
      </c>
      <c r="J49" s="721">
        <f t="shared" si="13"/>
        <v>15.392211251325548</v>
      </c>
      <c r="K49" s="722">
        <f t="shared" si="13"/>
        <v>10.910461081893173</v>
      </c>
    </row>
    <row r="50" spans="2:14">
      <c r="B50" s="361" t="s">
        <v>225</v>
      </c>
      <c r="C50" s="386" t="str">
        <f>'RFPR cover'!$C$14</f>
        <v>£m 09/10</v>
      </c>
      <c r="D50" s="91">
        <f t="shared" si="13"/>
        <v>34.997498052506998</v>
      </c>
      <c r="E50" s="92">
        <f t="shared" si="13"/>
        <v>38.534486333729262</v>
      </c>
      <c r="F50" s="92">
        <f t="shared" si="13"/>
        <v>43.534226461033803</v>
      </c>
      <c r="G50" s="92">
        <f t="shared" si="13"/>
        <v>49.766772413094834</v>
      </c>
      <c r="H50" s="92">
        <f t="shared" si="13"/>
        <v>54.202924969249516</v>
      </c>
      <c r="I50" s="92">
        <f t="shared" si="13"/>
        <v>55.373380227788438</v>
      </c>
      <c r="J50" s="92">
        <f t="shared" si="13"/>
        <v>55.79455171654255</v>
      </c>
      <c r="K50" s="93">
        <f t="shared" si="13"/>
        <v>57.327693758070879</v>
      </c>
      <c r="N50" s="213"/>
    </row>
    <row r="51" spans="2:14">
      <c r="B51" s="199" t="s">
        <v>339</v>
      </c>
      <c r="C51" s="386" t="str">
        <f>'RFPR cover'!$C$14</f>
        <v>£m 09/10</v>
      </c>
      <c r="D51" s="101">
        <f>SUM(D49:D50)</f>
        <v>52.840666900864534</v>
      </c>
      <c r="E51" s="102">
        <f t="shared" ref="E51:K51" si="14">SUM(E49:E50)</f>
        <v>56.83530904968449</v>
      </c>
      <c r="F51" s="102">
        <f t="shared" si="14"/>
        <v>62.917322528208381</v>
      </c>
      <c r="G51" s="102">
        <f t="shared" si="14"/>
        <v>70.447631171425357</v>
      </c>
      <c r="H51" s="102">
        <f t="shared" si="14"/>
        <v>75.213011123996708</v>
      </c>
      <c r="I51" s="102">
        <f t="shared" si="14"/>
        <v>73.83996306248423</v>
      </c>
      <c r="J51" s="102">
        <f t="shared" si="14"/>
        <v>71.186762967868106</v>
      </c>
      <c r="K51" s="103">
        <f t="shared" si="14"/>
        <v>68.238154839964054</v>
      </c>
      <c r="N51" s="213"/>
    </row>
    <row r="53" spans="2:14" s="29" customFormat="1">
      <c r="B53" s="361" t="s">
        <v>336</v>
      </c>
      <c r="C53" s="265" t="s">
        <v>125</v>
      </c>
      <c r="D53" s="94">
        <f t="shared" ref="D53:K54" si="15">D$35*D45</f>
        <v>712.925685708218</v>
      </c>
      <c r="E53" s="95">
        <f t="shared" si="15"/>
        <v>800.36247979439429</v>
      </c>
      <c r="F53" s="95">
        <f t="shared" si="15"/>
        <v>913.95152595983882</v>
      </c>
      <c r="G53" s="95">
        <f t="shared" si="15"/>
        <v>1067.1841127580162</v>
      </c>
      <c r="H53" s="95">
        <f t="shared" si="15"/>
        <v>1205.8053706810199</v>
      </c>
      <c r="I53" s="95">
        <f t="shared" si="15"/>
        <v>1269.4832827188966</v>
      </c>
      <c r="J53" s="95">
        <f t="shared" si="15"/>
        <v>1312.2521060158363</v>
      </c>
      <c r="K53" s="96">
        <f t="shared" si="15"/>
        <v>1381.6813124275473</v>
      </c>
      <c r="L53" s="233"/>
      <c r="N53" s="211"/>
    </row>
    <row r="54" spans="2:14" s="29" customFormat="1">
      <c r="B54" s="361" t="s">
        <v>228</v>
      </c>
      <c r="C54" s="265" t="s">
        <v>125</v>
      </c>
      <c r="D54" s="511">
        <f t="shared" si="15"/>
        <v>583.3028337612692</v>
      </c>
      <c r="E54" s="512">
        <f t="shared" si="15"/>
        <v>654.84202892268615</v>
      </c>
      <c r="F54" s="512">
        <f t="shared" si="15"/>
        <v>747.77852123986793</v>
      </c>
      <c r="G54" s="512">
        <f t="shared" si="15"/>
        <v>873.15063771110408</v>
      </c>
      <c r="H54" s="512">
        <f t="shared" si="15"/>
        <v>986.56803055719809</v>
      </c>
      <c r="I54" s="512">
        <f t="shared" si="15"/>
        <v>1038.6681404063697</v>
      </c>
      <c r="J54" s="512">
        <f t="shared" si="15"/>
        <v>1073.660814012957</v>
      </c>
      <c r="K54" s="513">
        <f t="shared" si="15"/>
        <v>1130.4665283498111</v>
      </c>
      <c r="L54" s="233"/>
      <c r="N54" s="211"/>
    </row>
    <row r="55" spans="2:14">
      <c r="B55" s="199" t="s">
        <v>338</v>
      </c>
      <c r="C55" s="265" t="s">
        <v>125</v>
      </c>
      <c r="D55" s="723">
        <f>SUM(D53:D54)</f>
        <v>1296.2285194694873</v>
      </c>
      <c r="E55" s="724">
        <f t="shared" ref="E55:K55" si="16">SUM(E53:E54)</f>
        <v>1455.2045087170804</v>
      </c>
      <c r="F55" s="724">
        <f t="shared" si="16"/>
        <v>1661.7300471997069</v>
      </c>
      <c r="G55" s="724">
        <f t="shared" si="16"/>
        <v>1940.3347504691203</v>
      </c>
      <c r="H55" s="724">
        <f t="shared" si="16"/>
        <v>2192.3734012382179</v>
      </c>
      <c r="I55" s="724">
        <f t="shared" si="16"/>
        <v>2308.1514231252663</v>
      </c>
      <c r="J55" s="724">
        <f t="shared" si="16"/>
        <v>2385.9129200287935</v>
      </c>
      <c r="K55" s="725">
        <f t="shared" si="16"/>
        <v>2512.1478407773584</v>
      </c>
    </row>
    <row r="56" spans="2:14" s="29" customFormat="1">
      <c r="B56" s="199"/>
      <c r="C56" s="209"/>
      <c r="D56" s="209"/>
      <c r="E56" s="209"/>
      <c r="F56" s="209"/>
      <c r="G56" s="209"/>
      <c r="H56" s="209"/>
      <c r="I56" s="209"/>
      <c r="J56" s="209"/>
      <c r="K56" s="209"/>
      <c r="L56" s="233"/>
      <c r="N56" s="211"/>
    </row>
    <row r="57" spans="2:14" s="29" customFormat="1">
      <c r="B57" s="361" t="s">
        <v>337</v>
      </c>
      <c r="C57" s="265" t="s">
        <v>125</v>
      </c>
      <c r="D57" s="94">
        <f t="shared" ref="D57:K58" si="17">D$35*D49</f>
        <v>20.817430022679968</v>
      </c>
      <c r="E57" s="95">
        <f t="shared" si="17"/>
        <v>21.769859450407523</v>
      </c>
      <c r="F57" s="95">
        <f t="shared" si="17"/>
        <v>23.305763911975891</v>
      </c>
      <c r="G57" s="95">
        <f t="shared" si="17"/>
        <v>25.39898188364079</v>
      </c>
      <c r="H57" s="95">
        <f t="shared" si="17"/>
        <v>26.768879229118642</v>
      </c>
      <c r="I57" s="95">
        <f t="shared" si="17"/>
        <v>24.247130699930921</v>
      </c>
      <c r="J57" s="95">
        <f t="shared" si="17"/>
        <v>20.733583275050218</v>
      </c>
      <c r="K57" s="96">
        <f t="shared" si="17"/>
        <v>15.060326305460265</v>
      </c>
      <c r="L57" s="233"/>
      <c r="N57" s="211"/>
    </row>
    <row r="58" spans="2:14">
      <c r="B58" s="361" t="s">
        <v>234</v>
      </c>
      <c r="C58" s="265" t="s">
        <v>125</v>
      </c>
      <c r="D58" s="726">
        <f t="shared" si="17"/>
        <v>40.831198363288848</v>
      </c>
      <c r="E58" s="727">
        <f t="shared" si="17"/>
        <v>45.838942024588043</v>
      </c>
      <c r="F58" s="727">
        <f t="shared" si="17"/>
        <v>52.34449648679076</v>
      </c>
      <c r="G58" s="727">
        <f t="shared" si="17"/>
        <v>61.120544639777293</v>
      </c>
      <c r="H58" s="727">
        <f t="shared" si="17"/>
        <v>69.059762139003865</v>
      </c>
      <c r="I58" s="727">
        <f t="shared" si="17"/>
        <v>72.7067698284459</v>
      </c>
      <c r="J58" s="727">
        <f t="shared" si="17"/>
        <v>75.156256980907003</v>
      </c>
      <c r="K58" s="728">
        <f t="shared" si="17"/>
        <v>79.132656984486786</v>
      </c>
    </row>
    <row r="59" spans="2:14">
      <c r="B59" s="199" t="s">
        <v>339</v>
      </c>
      <c r="C59" s="265" t="s">
        <v>125</v>
      </c>
      <c r="D59" s="101">
        <f t="shared" ref="D59:K59" si="18">SUM(D57:D58)</f>
        <v>61.64862838596882</v>
      </c>
      <c r="E59" s="102">
        <f t="shared" si="18"/>
        <v>67.608801474995573</v>
      </c>
      <c r="F59" s="102">
        <f t="shared" si="18"/>
        <v>75.650260398766648</v>
      </c>
      <c r="G59" s="102">
        <f t="shared" si="18"/>
        <v>86.519526523418079</v>
      </c>
      <c r="H59" s="102">
        <f t="shared" si="18"/>
        <v>95.828641368122504</v>
      </c>
      <c r="I59" s="102">
        <f t="shared" si="18"/>
        <v>96.95390052837682</v>
      </c>
      <c r="J59" s="102">
        <f t="shared" si="18"/>
        <v>95.889840255957225</v>
      </c>
      <c r="K59" s="103">
        <f t="shared" si="18"/>
        <v>94.192983289947051</v>
      </c>
    </row>
    <row r="60" spans="2:14">
      <c r="B60" s="14"/>
      <c r="C60" s="234"/>
      <c r="D60" s="234"/>
      <c r="E60" s="234"/>
      <c r="F60" s="234"/>
      <c r="G60" s="234"/>
      <c r="H60" s="234"/>
      <c r="I60" s="234"/>
      <c r="J60" s="234"/>
      <c r="K60" s="234"/>
    </row>
    <row r="61" spans="2:14">
      <c r="B61" s="14"/>
      <c r="C61" s="234"/>
      <c r="D61" s="234"/>
      <c r="E61" s="234"/>
      <c r="F61" s="234"/>
      <c r="G61" s="234"/>
      <c r="H61" s="234"/>
      <c r="I61" s="234"/>
      <c r="J61" s="234"/>
      <c r="K61" s="234"/>
    </row>
    <row r="62" spans="2:14">
      <c r="B62" s="14"/>
      <c r="C62" s="234"/>
      <c r="D62" s="234"/>
      <c r="E62" s="234"/>
      <c r="F62" s="234"/>
      <c r="G62" s="234"/>
      <c r="H62" s="234"/>
      <c r="I62" s="234"/>
      <c r="J62" s="234"/>
      <c r="K62" s="234"/>
    </row>
    <row r="63" spans="2:14">
      <c r="B63" s="14"/>
      <c r="C63" s="234"/>
      <c r="D63" s="234"/>
      <c r="E63" s="234"/>
      <c r="F63" s="234"/>
      <c r="G63" s="234"/>
      <c r="H63" s="234"/>
      <c r="I63" s="234"/>
      <c r="J63" s="234"/>
      <c r="K63" s="234"/>
    </row>
  </sheetData>
  <conditionalFormatting sqref="D6:K6">
    <cfRule type="expression" dxfId="24" priority="13">
      <formula>AND(D$5="Actuals",E$5="Forecast")</formula>
    </cfRule>
  </conditionalFormatting>
  <conditionalFormatting sqref="D5:K5">
    <cfRule type="expression" dxfId="23"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95.5" customWidth="1"/>
    <col min="3" max="3" width="14.125" customWidth="1"/>
    <col min="4" max="11" width="11.125" customWidth="1"/>
    <col min="12" max="12" width="5" customWidth="1"/>
  </cols>
  <sheetData>
    <row r="1" spans="1:13" s="29" customFormat="1" ht="20.25">
      <c r="A1" s="913" t="s">
        <v>256</v>
      </c>
      <c r="B1" s="909"/>
      <c r="C1" s="255"/>
      <c r="D1" s="255"/>
      <c r="E1" s="255"/>
      <c r="F1" s="255"/>
      <c r="G1" s="255"/>
      <c r="H1" s="255"/>
      <c r="I1" s="256"/>
      <c r="J1" s="256"/>
      <c r="K1" s="257"/>
      <c r="L1" s="258"/>
    </row>
    <row r="2" spans="1:13" s="29" customFormat="1" ht="20.25">
      <c r="A2" s="902" t="str">
        <f>'RFPR cover'!C5</f>
        <v>SPT</v>
      </c>
      <c r="B2" s="895"/>
      <c r="C2" s="27"/>
      <c r="D2" s="27"/>
      <c r="E2" s="27"/>
      <c r="F2" s="27"/>
      <c r="G2" s="27"/>
      <c r="H2" s="27"/>
      <c r="I2" s="25"/>
      <c r="J2" s="25"/>
      <c r="K2" s="25"/>
      <c r="L2" s="122"/>
    </row>
    <row r="3" spans="1:13" s="29" customFormat="1" ht="20.25">
      <c r="A3" s="905">
        <f>'RFPR cover'!C7</f>
        <v>2020</v>
      </c>
      <c r="B3" s="912"/>
      <c r="C3" s="259"/>
      <c r="D3" s="259"/>
      <c r="E3" s="259"/>
      <c r="F3" s="259"/>
      <c r="G3" s="259"/>
      <c r="H3" s="259"/>
      <c r="I3" s="254"/>
      <c r="J3" s="254"/>
      <c r="K3" s="254"/>
      <c r="L3" s="260"/>
    </row>
    <row r="4" spans="1:13" s="29" customFormat="1" ht="12.75" customHeight="1">
      <c r="A4" s="261"/>
      <c r="B4" s="262"/>
      <c r="C4" s="261"/>
      <c r="D4" s="261"/>
      <c r="E4" s="261"/>
      <c r="F4" s="261"/>
      <c r="G4" s="261"/>
      <c r="H4" s="261"/>
      <c r="I4" s="263"/>
      <c r="J4" s="263"/>
      <c r="K4" s="263"/>
      <c r="L4" s="264"/>
      <c r="M4" s="262"/>
    </row>
    <row r="5" spans="1:13" s="2" customFormat="1">
      <c r="B5" s="3"/>
      <c r="C5" s="3"/>
      <c r="D5" s="379" t="str">
        <f>IF(D6&lt;=('RFPR cover'!$C$7-1),"Actuals","Forecast")</f>
        <v>Actuals</v>
      </c>
      <c r="E5" s="379" t="str">
        <f>IF(E6&lt;=('RFPR cover'!$C$7-1),"Actuals","Forecast")</f>
        <v>Actuals</v>
      </c>
      <c r="F5" s="379" t="str">
        <f>IF(F6&lt;=('RFPR cover'!$C$7-1),"Actuals","Forecast")</f>
        <v>Actuals</v>
      </c>
      <c r="G5" s="379" t="str">
        <f>IF(G6&lt;=('RFPR cover'!$C$7-1),"Actuals","Forecast")</f>
        <v>Actuals</v>
      </c>
      <c r="H5" s="379" t="str">
        <f>IF(H6&lt;=('RFPR cover'!$C$7-1),"Actuals","Forecast")</f>
        <v>Actuals</v>
      </c>
      <c r="I5" s="379" t="str">
        <f>IF(I6&lt;=('RFPR cover'!$C$7-1),"Actuals","Forecast")</f>
        <v>Actuals</v>
      </c>
      <c r="J5" s="379" t="str">
        <f>IF(J6&lt;=('RFPR cover'!$C$7-1),"Actuals","Forecast")</f>
        <v>Forecast</v>
      </c>
      <c r="K5" s="379" t="str">
        <f>IF(K6&lt;=('RFPR cover'!$C$7-1),"Actuals","Forecast")</f>
        <v>Forecast</v>
      </c>
    </row>
    <row r="6" spans="1:13" s="2" customFormat="1">
      <c r="D6" s="116">
        <f>'RFPR cover'!$C$13</f>
        <v>2014</v>
      </c>
      <c r="E6" s="117">
        <f>D6+1</f>
        <v>2015</v>
      </c>
      <c r="F6" s="117">
        <f t="shared" ref="F6:K6" si="0">E6+1</f>
        <v>2016</v>
      </c>
      <c r="G6" s="117">
        <f t="shared" si="0"/>
        <v>2017</v>
      </c>
      <c r="H6" s="117">
        <f t="shared" si="0"/>
        <v>2018</v>
      </c>
      <c r="I6" s="117">
        <f t="shared" si="0"/>
        <v>2019</v>
      </c>
      <c r="J6" s="117">
        <f t="shared" si="0"/>
        <v>2020</v>
      </c>
      <c r="K6" s="194">
        <f t="shared" si="0"/>
        <v>2021</v>
      </c>
    </row>
    <row r="7" spans="1:13" s="33" customFormat="1">
      <c r="D7" s="419"/>
      <c r="E7" s="419"/>
      <c r="F7" s="419"/>
      <c r="G7" s="419"/>
      <c r="H7" s="419"/>
      <c r="I7" s="419"/>
      <c r="J7" s="419"/>
      <c r="K7" s="419"/>
    </row>
    <row r="8" spans="1:13" s="2" customFormat="1">
      <c r="B8" s="358" t="s">
        <v>347</v>
      </c>
      <c r="C8" s="290"/>
      <c r="D8" s="290"/>
      <c r="E8" s="290"/>
      <c r="F8" s="290"/>
      <c r="G8" s="290"/>
      <c r="H8" s="290"/>
      <c r="I8" s="290"/>
      <c r="J8" s="290"/>
      <c r="K8" s="290"/>
      <c r="L8" s="290"/>
    </row>
    <row r="9" spans="1:13" s="2" customFormat="1">
      <c r="B9" s="358" t="s">
        <v>452</v>
      </c>
      <c r="C9" s="290"/>
      <c r="D9" s="290"/>
      <c r="E9" s="290"/>
      <c r="F9" s="290"/>
      <c r="G9" s="290"/>
      <c r="H9" s="290"/>
      <c r="I9" s="290"/>
      <c r="J9" s="290"/>
      <c r="K9" s="290"/>
      <c r="L9" s="290"/>
    </row>
    <row r="10" spans="1:13" s="2" customFormat="1">
      <c r="B10" s="358" t="s">
        <v>348</v>
      </c>
      <c r="C10" s="290"/>
      <c r="D10" s="290"/>
      <c r="E10" s="290"/>
      <c r="F10" s="290"/>
      <c r="G10" s="290"/>
      <c r="H10" s="290"/>
      <c r="I10" s="290"/>
      <c r="J10" s="290"/>
      <c r="K10" s="290"/>
      <c r="L10" s="290"/>
    </row>
    <row r="11" spans="1:13" s="33" customFormat="1">
      <c r="B11" s="418"/>
    </row>
    <row r="12" spans="1:13">
      <c r="B12" s="198" t="s">
        <v>513</v>
      </c>
      <c r="C12" s="265" t="s">
        <v>125</v>
      </c>
      <c r="D12" s="628">
        <v>30.238674369999998</v>
      </c>
      <c r="E12" s="629">
        <v>22.623528149999999</v>
      </c>
      <c r="F12" s="629">
        <v>17.7830136</v>
      </c>
      <c r="G12" s="629">
        <v>17.432829859999998</v>
      </c>
      <c r="H12" s="629">
        <v>21.342666749999999</v>
      </c>
      <c r="I12" s="629"/>
      <c r="J12" s="629"/>
      <c r="K12" s="630"/>
    </row>
    <row r="13" spans="1:13">
      <c r="B13" s="14"/>
      <c r="C13" s="14"/>
      <c r="D13" s="729"/>
      <c r="E13" s="729"/>
      <c r="F13" s="729"/>
      <c r="G13" s="729"/>
      <c r="H13" s="729"/>
      <c r="I13" s="729"/>
      <c r="J13" s="729"/>
      <c r="K13" s="729"/>
    </row>
    <row r="14" spans="1:13">
      <c r="B14" s="14" t="s">
        <v>451</v>
      </c>
      <c r="C14" s="265"/>
      <c r="D14" s="729"/>
      <c r="E14" s="729"/>
      <c r="F14" s="729"/>
      <c r="G14" s="729"/>
      <c r="H14" s="729"/>
      <c r="I14" s="729"/>
      <c r="J14" s="729"/>
      <c r="K14" s="729"/>
    </row>
    <row r="15" spans="1:13">
      <c r="B15" s="359" t="s">
        <v>473</v>
      </c>
      <c r="C15" s="265" t="s">
        <v>125</v>
      </c>
      <c r="D15" s="584">
        <v>0</v>
      </c>
      <c r="E15" s="585">
        <v>0</v>
      </c>
      <c r="F15" s="585">
        <v>0</v>
      </c>
      <c r="G15" s="585">
        <v>0</v>
      </c>
      <c r="H15" s="585">
        <v>0</v>
      </c>
      <c r="I15" s="585"/>
      <c r="J15" s="585"/>
      <c r="K15" s="595"/>
    </row>
    <row r="16" spans="1:13">
      <c r="B16" s="420" t="s">
        <v>560</v>
      </c>
      <c r="C16" s="265" t="s">
        <v>125</v>
      </c>
      <c r="D16" s="584">
        <v>0</v>
      </c>
      <c r="E16" s="585">
        <v>0</v>
      </c>
      <c r="F16" s="585">
        <v>0</v>
      </c>
      <c r="G16" s="585">
        <v>0</v>
      </c>
      <c r="H16" s="585">
        <v>0</v>
      </c>
      <c r="I16" s="585"/>
      <c r="J16" s="585"/>
      <c r="K16" s="595"/>
    </row>
    <row r="17" spans="2:12">
      <c r="B17" s="420" t="s">
        <v>560</v>
      </c>
      <c r="C17" s="265" t="s">
        <v>125</v>
      </c>
      <c r="D17" s="584">
        <v>0</v>
      </c>
      <c r="E17" s="585">
        <v>0</v>
      </c>
      <c r="F17" s="585">
        <v>0</v>
      </c>
      <c r="G17" s="585">
        <v>0</v>
      </c>
      <c r="H17" s="585">
        <v>0</v>
      </c>
      <c r="I17" s="585"/>
      <c r="J17" s="585"/>
      <c r="K17" s="595"/>
    </row>
    <row r="18" spans="2:12">
      <c r="B18" s="420" t="s">
        <v>560</v>
      </c>
      <c r="C18" s="265" t="s">
        <v>125</v>
      </c>
      <c r="D18" s="584">
        <v>0</v>
      </c>
      <c r="E18" s="585">
        <v>0</v>
      </c>
      <c r="F18" s="585">
        <v>0</v>
      </c>
      <c r="G18" s="585">
        <v>0</v>
      </c>
      <c r="H18" s="585">
        <v>0</v>
      </c>
      <c r="I18" s="585"/>
      <c r="J18" s="585"/>
      <c r="K18" s="595"/>
    </row>
    <row r="19" spans="2:12">
      <c r="B19" s="267" t="s">
        <v>349</v>
      </c>
      <c r="C19" s="265" t="s">
        <v>125</v>
      </c>
      <c r="D19" s="730">
        <f>SUM(D15:D18)</f>
        <v>0</v>
      </c>
      <c r="E19" s="731">
        <f t="shared" ref="E19:K19" si="1">SUM(E15:E18)</f>
        <v>0</v>
      </c>
      <c r="F19" s="731">
        <f t="shared" si="1"/>
        <v>0</v>
      </c>
      <c r="G19" s="731">
        <f t="shared" si="1"/>
        <v>0</v>
      </c>
      <c r="H19" s="731">
        <f t="shared" si="1"/>
        <v>0</v>
      </c>
      <c r="I19" s="731">
        <f t="shared" si="1"/>
        <v>0</v>
      </c>
      <c r="J19" s="731">
        <f t="shared" si="1"/>
        <v>0</v>
      </c>
      <c r="K19" s="732">
        <f t="shared" si="1"/>
        <v>0</v>
      </c>
    </row>
    <row r="20" spans="2:12" s="29" customFormat="1">
      <c r="B20" s="359"/>
      <c r="C20" s="359"/>
      <c r="D20" s="733"/>
      <c r="E20" s="733"/>
      <c r="F20" s="733"/>
      <c r="G20" s="733"/>
      <c r="H20" s="733"/>
      <c r="I20" s="733"/>
      <c r="J20" s="733"/>
      <c r="K20" s="733"/>
      <c r="L20" s="359"/>
    </row>
    <row r="21" spans="2:12">
      <c r="B21" s="14" t="s">
        <v>328</v>
      </c>
      <c r="C21" s="265"/>
      <c r="D21" s="734"/>
      <c r="E21" s="734"/>
      <c r="F21" s="734"/>
      <c r="G21" s="734"/>
      <c r="H21" s="734"/>
      <c r="I21" s="734"/>
      <c r="J21" s="734"/>
      <c r="K21" s="734"/>
      <c r="L21" s="265"/>
    </row>
    <row r="22" spans="2:12">
      <c r="B22" s="359" t="s">
        <v>474</v>
      </c>
      <c r="C22" s="265" t="s">
        <v>125</v>
      </c>
      <c r="D22" s="848">
        <f>('R5 - Output Incentives'!D102)*INDEX(Data!$G$14:$G$30,MATCH('R10 - Tax'!D$6,Data!$C$14:$C$30,0),1)</f>
        <v>0.11545424999999999</v>
      </c>
      <c r="E22" s="849">
        <f>('R5 - Output Incentives'!E102)*INDEX(Data!$G$14:$G$30,MATCH('R10 - Tax'!E$6,Data!$C$14:$C$30,0),1)</f>
        <v>0</v>
      </c>
      <c r="F22" s="849">
        <f>('R5 - Output Incentives'!F102)*INDEX(Data!$G$14:$G$30,MATCH('R10 - Tax'!F$6,Data!$C$14:$C$30,0),1)</f>
        <v>0.55228950744617544</v>
      </c>
      <c r="G22" s="849">
        <f>('R5 - Output Incentives'!G102)*INDEX(Data!$G$14:$G$30,MATCH('R10 - Tax'!G$6,Data!$C$14:$C$30,0),1)</f>
        <v>0.72269811372900783</v>
      </c>
      <c r="H22" s="851">
        <f>('R5 - Output Incentives'!H102)*INDEX(Data!$G$14:$G$30,MATCH('R10 - Tax'!H$6,Data!$C$14:$C$30,0),1)</f>
        <v>1.5074583023505856</v>
      </c>
      <c r="I22" s="851">
        <f>('R5 - Output Incentives'!I102)*INDEX(Data!$G$14:$G$30,MATCH('R10 - Tax'!I$6,Data!$C$14:$C$30,0),1)</f>
        <v>1.7707126199990597</v>
      </c>
      <c r="J22" s="851">
        <f>('R5 - Output Incentives'!J102)*INDEX(Data!$G$14:$G$30,MATCH('R10 - Tax'!J$6,Data!$C$14:$C$30,0),1)</f>
        <v>1.1865093036882837</v>
      </c>
      <c r="K22" s="852">
        <f>('R5 - Output Incentives'!K102)*INDEX(Data!$G$14:$G$30,MATCH('R10 - Tax'!K$6,Data!$C$14:$C$30,0),1)</f>
        <v>1.1581745810570747</v>
      </c>
    </row>
    <row r="23" spans="2:12">
      <c r="B23" s="359" t="s">
        <v>475</v>
      </c>
      <c r="C23" s="265" t="s">
        <v>125</v>
      </c>
      <c r="D23" s="588">
        <f>('R4 - Totex'!D79-'R4 - Totex'!D81)*D39</f>
        <v>2.9390446405536577</v>
      </c>
      <c r="E23" s="590">
        <f>('R4 - Totex'!E79-'R4 - Totex'!E81)*E39</f>
        <v>0.33505799544981418</v>
      </c>
      <c r="F23" s="590">
        <f>('R4 - Totex'!F79-'R4 - Totex'!F81)*F39</f>
        <v>5.3361865493991498</v>
      </c>
      <c r="G23" s="590">
        <f>('R4 - Totex'!G79-'R4 - Totex'!G81)*G39</f>
        <v>1.7313939716851918</v>
      </c>
      <c r="H23" s="853">
        <f>('R4 - Totex'!H79-'R4 - Totex'!H81)*H39</f>
        <v>1.6708416338911583</v>
      </c>
      <c r="I23" s="853">
        <f>('R4 - Totex'!I79-'R4 - Totex'!I81)*I39</f>
        <v>1.7319876611318725</v>
      </c>
      <c r="J23" s="853">
        <f>('R4 - Totex'!J79-'R4 - Totex'!J81)*J39</f>
        <v>1.8116262949329649</v>
      </c>
      <c r="K23" s="854">
        <f>('R4 - Totex'!K79-'R4 - Totex'!K81)*K39</f>
        <v>1.3818500378545833</v>
      </c>
    </row>
    <row r="24" spans="2:12">
      <c r="B24" s="359" t="s">
        <v>476</v>
      </c>
      <c r="C24" s="265" t="s">
        <v>125</v>
      </c>
      <c r="D24" s="586">
        <v>0</v>
      </c>
      <c r="E24" s="587">
        <v>0</v>
      </c>
      <c r="F24" s="587">
        <v>0</v>
      </c>
      <c r="G24" s="587">
        <v>0</v>
      </c>
      <c r="H24" s="587">
        <v>0</v>
      </c>
      <c r="I24" s="587"/>
      <c r="J24" s="587"/>
      <c r="K24" s="596"/>
    </row>
    <row r="25" spans="2:12">
      <c r="B25" s="359" t="s">
        <v>477</v>
      </c>
      <c r="C25" s="265" t="s">
        <v>125</v>
      </c>
      <c r="D25" s="586">
        <v>0</v>
      </c>
      <c r="E25" s="587">
        <v>0</v>
      </c>
      <c r="F25" s="587">
        <v>0</v>
      </c>
      <c r="G25" s="587">
        <v>0</v>
      </c>
      <c r="H25" s="587">
        <v>0</v>
      </c>
      <c r="I25" s="587"/>
      <c r="J25" s="587"/>
      <c r="K25" s="596"/>
    </row>
    <row r="26" spans="2:12">
      <c r="B26" s="359" t="s">
        <v>478</v>
      </c>
      <c r="C26" s="265" t="s">
        <v>125</v>
      </c>
      <c r="D26" s="586">
        <v>0</v>
      </c>
      <c r="E26" s="587">
        <v>0</v>
      </c>
      <c r="F26" s="587">
        <v>0</v>
      </c>
      <c r="G26" s="587">
        <v>0</v>
      </c>
      <c r="H26" s="587">
        <v>0</v>
      </c>
      <c r="I26" s="587"/>
      <c r="J26" s="587"/>
      <c r="K26" s="596"/>
    </row>
    <row r="27" spans="2:12">
      <c r="B27" s="359" t="s">
        <v>479</v>
      </c>
      <c r="C27" s="265" t="s">
        <v>125</v>
      </c>
      <c r="D27" s="586">
        <v>0</v>
      </c>
      <c r="E27" s="587">
        <v>0</v>
      </c>
      <c r="F27" s="587">
        <v>0</v>
      </c>
      <c r="G27" s="587">
        <v>0</v>
      </c>
      <c r="H27" s="587">
        <v>0</v>
      </c>
      <c r="I27" s="587"/>
      <c r="J27" s="587"/>
      <c r="K27" s="596"/>
    </row>
    <row r="28" spans="2:12">
      <c r="B28" s="359" t="s">
        <v>554</v>
      </c>
      <c r="C28" s="265" t="s">
        <v>125</v>
      </c>
      <c r="D28" s="586">
        <v>0</v>
      </c>
      <c r="E28" s="587">
        <v>0</v>
      </c>
      <c r="F28" s="587">
        <v>0</v>
      </c>
      <c r="G28" s="587">
        <v>0</v>
      </c>
      <c r="H28" s="587">
        <v>0</v>
      </c>
      <c r="I28" s="587"/>
      <c r="J28" s="587"/>
      <c r="K28" s="596"/>
    </row>
    <row r="29" spans="2:12">
      <c r="B29" s="420" t="s">
        <v>619</v>
      </c>
      <c r="C29" s="265" t="s">
        <v>125</v>
      </c>
      <c r="D29" s="586">
        <v>0.63875346999999993</v>
      </c>
      <c r="E29" s="587">
        <v>-4.5804124799999997</v>
      </c>
      <c r="F29" s="587">
        <v>-3.4759838000000003</v>
      </c>
      <c r="G29" s="587">
        <v>0.28692479999999998</v>
      </c>
      <c r="H29" s="587">
        <v>3.1140365399999999</v>
      </c>
      <c r="I29" s="587"/>
      <c r="J29" s="587"/>
      <c r="K29" s="596"/>
    </row>
    <row r="30" spans="2:12">
      <c r="B30" s="420" t="s">
        <v>620</v>
      </c>
      <c r="C30" s="265" t="s">
        <v>125</v>
      </c>
      <c r="D30" s="586">
        <v>-2.1199835400000029</v>
      </c>
      <c r="E30" s="587">
        <v>-0.84187689000000054</v>
      </c>
      <c r="F30" s="587">
        <v>0</v>
      </c>
      <c r="G30" s="587">
        <v>-0.68242394000000139</v>
      </c>
      <c r="H30" s="587">
        <v>0</v>
      </c>
      <c r="I30" s="587"/>
      <c r="J30" s="587"/>
      <c r="K30" s="596"/>
    </row>
    <row r="31" spans="2:12">
      <c r="B31" s="420" t="s">
        <v>621</v>
      </c>
      <c r="C31" s="265" t="s">
        <v>125</v>
      </c>
      <c r="D31" s="586">
        <v>12.729230493404559</v>
      </c>
      <c r="E31" s="587">
        <v>16.159993134761905</v>
      </c>
      <c r="F31" s="587">
        <v>4.3867422160065566</v>
      </c>
      <c r="G31" s="587">
        <v>2.6242627779789274</v>
      </c>
      <c r="H31" s="587">
        <v>4.1001864133217119</v>
      </c>
      <c r="I31" s="587"/>
      <c r="J31" s="587"/>
      <c r="K31" s="596"/>
    </row>
    <row r="32" spans="2:12">
      <c r="B32" s="420" t="s">
        <v>560</v>
      </c>
      <c r="C32" s="265" t="s">
        <v>125</v>
      </c>
      <c r="D32" s="586">
        <v>0</v>
      </c>
      <c r="E32" s="587">
        <v>0</v>
      </c>
      <c r="F32" s="587">
        <v>0</v>
      </c>
      <c r="G32" s="587">
        <v>0</v>
      </c>
      <c r="H32" s="587">
        <v>0</v>
      </c>
      <c r="I32" s="587"/>
      <c r="J32" s="587"/>
      <c r="K32" s="596"/>
    </row>
    <row r="33" spans="2:13">
      <c r="B33" s="420" t="s">
        <v>561</v>
      </c>
      <c r="C33" s="265" t="s">
        <v>125</v>
      </c>
      <c r="D33" s="597">
        <v>0</v>
      </c>
      <c r="E33" s="598">
        <v>0</v>
      </c>
      <c r="F33" s="598">
        <v>0</v>
      </c>
      <c r="G33" s="598">
        <v>0</v>
      </c>
      <c r="H33" s="598">
        <v>0</v>
      </c>
      <c r="I33" s="598"/>
      <c r="J33" s="598"/>
      <c r="K33" s="599"/>
    </row>
    <row r="34" spans="2:13">
      <c r="B34" s="14" t="s">
        <v>173</v>
      </c>
      <c r="C34" s="265" t="s">
        <v>125</v>
      </c>
      <c r="D34" s="735">
        <f t="shared" ref="D34:K34" si="2">SUM(D22:D33)</f>
        <v>14.302499313958213</v>
      </c>
      <c r="E34" s="736">
        <f t="shared" si="2"/>
        <v>11.072761760211719</v>
      </c>
      <c r="F34" s="736">
        <f t="shared" si="2"/>
        <v>6.7992344728518823</v>
      </c>
      <c r="G34" s="736">
        <f t="shared" si="2"/>
        <v>4.6828557233931249</v>
      </c>
      <c r="H34" s="736">
        <f t="shared" si="2"/>
        <v>10.392522889563455</v>
      </c>
      <c r="I34" s="736">
        <f t="shared" si="2"/>
        <v>3.5027002811309322</v>
      </c>
      <c r="J34" s="736">
        <f t="shared" si="2"/>
        <v>2.9981355986212486</v>
      </c>
      <c r="K34" s="737">
        <f t="shared" si="2"/>
        <v>2.5400246189116578</v>
      </c>
    </row>
    <row r="36" spans="2:13" ht="12.75" customHeight="1">
      <c r="B36" s="814" t="s">
        <v>486</v>
      </c>
      <c r="C36" s="265" t="s">
        <v>125</v>
      </c>
      <c r="D36" s="628"/>
      <c r="E36" s="629"/>
      <c r="F36" s="629"/>
      <c r="G36" s="629">
        <v>0</v>
      </c>
      <c r="H36" s="629">
        <v>0</v>
      </c>
      <c r="I36" s="629">
        <v>14.157823367192147</v>
      </c>
      <c r="J36" s="629">
        <v>14.642689179729043</v>
      </c>
      <c r="K36" s="630">
        <v>19.822399691018941</v>
      </c>
    </row>
    <row r="37" spans="2:13" ht="12.75" customHeight="1">
      <c r="B37" s="814" t="s">
        <v>455</v>
      </c>
      <c r="C37" s="265" t="s">
        <v>125</v>
      </c>
      <c r="D37" s="735">
        <f t="shared" ref="D37:K37" si="3">D12+D36-D19-D34</f>
        <v>15.936175056041785</v>
      </c>
      <c r="E37" s="736">
        <f t="shared" si="3"/>
        <v>11.550766389788279</v>
      </c>
      <c r="F37" s="736">
        <f t="shared" si="3"/>
        <v>10.983779127148118</v>
      </c>
      <c r="G37" s="736">
        <f t="shared" si="3"/>
        <v>12.749974136606873</v>
      </c>
      <c r="H37" s="736">
        <f t="shared" si="3"/>
        <v>10.950143860436544</v>
      </c>
      <c r="I37" s="736">
        <f t="shared" si="3"/>
        <v>10.655123086061215</v>
      </c>
      <c r="J37" s="736">
        <f t="shared" si="3"/>
        <v>11.644553581107795</v>
      </c>
      <c r="K37" s="737">
        <f t="shared" si="3"/>
        <v>17.282375072107282</v>
      </c>
    </row>
    <row r="38" spans="2:13" ht="12.75" customHeight="1">
      <c r="B38" s="471"/>
      <c r="C38" s="265"/>
      <c r="D38" s="265"/>
      <c r="E38" s="265"/>
      <c r="F38" s="265"/>
      <c r="G38" s="265"/>
      <c r="H38" s="265"/>
      <c r="I38" s="265"/>
      <c r="J38" s="265"/>
      <c r="K38" s="265"/>
    </row>
    <row r="39" spans="2:13">
      <c r="B39" s="35" t="s">
        <v>463</v>
      </c>
      <c r="C39" s="266" t="s">
        <v>124</v>
      </c>
      <c r="D39" s="111">
        <f>Data!C$34</f>
        <v>1.1666890673736021</v>
      </c>
      <c r="E39" s="111">
        <f>Data!D$34</f>
        <v>1.1895563269638081</v>
      </c>
      <c r="F39" s="111">
        <f>Data!E$34</f>
        <v>1.2023757108362261</v>
      </c>
      <c r="G39" s="111">
        <f>Data!F$34</f>
        <v>1.2281396135646323</v>
      </c>
      <c r="H39" s="111">
        <f>Data!G$34</f>
        <v>1.2740965949380583</v>
      </c>
      <c r="I39" s="111">
        <f>Data!H$34</f>
        <v>1.3130274787154661</v>
      </c>
      <c r="J39" s="111">
        <f>Data!I$34</f>
        <v>1.3470178479563604</v>
      </c>
      <c r="K39" s="111">
        <f>Data!J$34</f>
        <v>1.3803565396932804</v>
      </c>
      <c r="L39" s="265"/>
    </row>
    <row r="40" spans="2:13">
      <c r="B40" s="198"/>
      <c r="C40" s="265"/>
      <c r="D40" s="265"/>
      <c r="E40" s="265"/>
      <c r="F40" s="265"/>
      <c r="G40" s="265"/>
      <c r="H40" s="265"/>
      <c r="I40" s="265"/>
      <c r="J40" s="265"/>
      <c r="K40" s="265"/>
    </row>
    <row r="41" spans="2:13">
      <c r="B41" s="534" t="s">
        <v>456</v>
      </c>
      <c r="C41" s="386" t="str">
        <f>'RFPR cover'!$C$14</f>
        <v>£m 09/10</v>
      </c>
      <c r="D41" s="779">
        <f t="shared" ref="D41:K41" si="4">D37/D39</f>
        <v>13.659316352313633</v>
      </c>
      <c r="E41" s="780">
        <f t="shared" si="4"/>
        <v>9.7101466554931015</v>
      </c>
      <c r="F41" s="780">
        <f t="shared" si="4"/>
        <v>9.1350640470848656</v>
      </c>
      <c r="G41" s="780">
        <f t="shared" si="4"/>
        <v>10.381534799289243</v>
      </c>
      <c r="H41" s="780">
        <f t="shared" si="4"/>
        <v>8.5944377403888268</v>
      </c>
      <c r="I41" s="780">
        <f t="shared" si="4"/>
        <v>8.1149277214556967</v>
      </c>
      <c r="J41" s="780">
        <f t="shared" si="4"/>
        <v>8.6446913816134128</v>
      </c>
      <c r="K41" s="781">
        <f t="shared" si="4"/>
        <v>12.52022544548344</v>
      </c>
    </row>
    <row r="42" spans="2:13">
      <c r="B42" s="814"/>
      <c r="C42" s="814"/>
    </row>
    <row r="43" spans="2:13">
      <c r="B43" s="822" t="s">
        <v>436</v>
      </c>
      <c r="C43" s="209"/>
      <c r="D43" s="209"/>
      <c r="E43" s="209"/>
      <c r="F43" s="209"/>
      <c r="G43" s="209"/>
      <c r="H43" s="209"/>
      <c r="I43" s="209"/>
      <c r="J43" s="209"/>
      <c r="K43" s="209"/>
    </row>
    <row r="44" spans="2:13">
      <c r="B44" s="358" t="s">
        <v>424</v>
      </c>
      <c r="C44" s="421"/>
      <c r="D44" s="421"/>
      <c r="E44" s="421"/>
      <c r="F44" s="421"/>
      <c r="G44" s="421"/>
      <c r="H44" s="421"/>
      <c r="I44" s="421"/>
      <c r="J44" s="421"/>
      <c r="K44" s="421"/>
      <c r="L44" s="421"/>
      <c r="M44" s="421"/>
    </row>
    <row r="46" spans="2:13" ht="12.75" customHeight="1">
      <c r="B46" s="212" t="s">
        <v>112</v>
      </c>
      <c r="C46" s="154" t="s">
        <v>7</v>
      </c>
      <c r="D46" s="884">
        <f>'RFPR cover'!$C$12</f>
        <v>0.55000000000000004</v>
      </c>
      <c r="E46" s="885">
        <f>'RFPR cover'!$C$12</f>
        <v>0.55000000000000004</v>
      </c>
      <c r="F46" s="885">
        <f>'RFPR cover'!$C$12</f>
        <v>0.55000000000000004</v>
      </c>
      <c r="G46" s="885">
        <f>'RFPR cover'!$C$12</f>
        <v>0.55000000000000004</v>
      </c>
      <c r="H46" s="885">
        <f>'RFPR cover'!$C$12</f>
        <v>0.55000000000000004</v>
      </c>
      <c r="I46" s="885">
        <f>'RFPR cover'!$C$12</f>
        <v>0.55000000000000004</v>
      </c>
      <c r="J46" s="885">
        <f>'RFPR cover'!$C$12</f>
        <v>0.55000000000000004</v>
      </c>
      <c r="K46" s="886">
        <f>'RFPR cover'!$C$12</f>
        <v>0.55000000000000004</v>
      </c>
    </row>
    <row r="47" spans="2:13" ht="12.75" customHeight="1">
      <c r="B47" s="212" t="s">
        <v>386</v>
      </c>
      <c r="C47" s="154" t="s">
        <v>7</v>
      </c>
      <c r="D47" s="884">
        <f>'R8 - Net Debt'!D57</f>
        <v>0.47313338200690469</v>
      </c>
      <c r="E47" s="885">
        <f>'R8 - Net Debt'!E57</f>
        <v>0.5956097542777401</v>
      </c>
      <c r="F47" s="885">
        <f>'R8 - Net Debt'!F57</f>
        <v>0.65383583038992765</v>
      </c>
      <c r="G47" s="885">
        <f>'R8 - Net Debt'!G57</f>
        <v>0.59523831703002694</v>
      </c>
      <c r="H47" s="885">
        <f>'R8 - Net Debt'!H57</f>
        <v>0.54793326738318482</v>
      </c>
      <c r="I47" s="885">
        <f>'R8 - Net Debt'!I57</f>
        <v>0.5559049430823898</v>
      </c>
      <c r="J47" s="885">
        <f>'R8 - Net Debt'!J57</f>
        <v>0.56038136248266524</v>
      </c>
      <c r="K47" s="886">
        <f>'R8 - Net Debt'!K57</f>
        <v>0.54510894588306769</v>
      </c>
    </row>
    <row r="48" spans="2:13" ht="12.75" customHeight="1">
      <c r="B48" s="212"/>
      <c r="C48" s="154"/>
      <c r="D48" s="154"/>
      <c r="E48" s="154"/>
      <c r="F48" s="154"/>
      <c r="G48" s="154"/>
      <c r="H48" s="154"/>
      <c r="I48" s="154"/>
      <c r="J48" s="154"/>
      <c r="K48" s="154"/>
      <c r="L48" s="154"/>
    </row>
    <row r="49" spans="2:14" ht="12.75" customHeight="1">
      <c r="B49" s="814" t="s">
        <v>456</v>
      </c>
      <c r="C49" s="265" t="s">
        <v>125</v>
      </c>
      <c r="D49" s="779">
        <f>D37</f>
        <v>15.936175056041785</v>
      </c>
      <c r="E49" s="779">
        <f t="shared" ref="E49:K49" si="5">E37</f>
        <v>11.550766389788279</v>
      </c>
      <c r="F49" s="779">
        <f t="shared" si="5"/>
        <v>10.983779127148118</v>
      </c>
      <c r="G49" s="779">
        <f t="shared" si="5"/>
        <v>12.749974136606873</v>
      </c>
      <c r="H49" s="779">
        <f t="shared" si="5"/>
        <v>10.950143860436544</v>
      </c>
      <c r="I49" s="779">
        <f t="shared" si="5"/>
        <v>10.655123086061215</v>
      </c>
      <c r="J49" s="779">
        <f t="shared" si="5"/>
        <v>11.644553581107795</v>
      </c>
      <c r="K49" s="779">
        <f t="shared" si="5"/>
        <v>17.282375072107282</v>
      </c>
    </row>
    <row r="50" spans="2:14">
      <c r="B50" s="212" t="s">
        <v>437</v>
      </c>
      <c r="C50" s="265" t="s">
        <v>125</v>
      </c>
      <c r="D50" s="948">
        <f>-('R7 - Financing'!D$66*INDEX(Data!$G$14:$G$30,MATCH('R10 - Tax'!D$6,Data!$C$14:$C$30,0),1))</f>
        <v>-0.16968758310805279</v>
      </c>
      <c r="E50" s="948">
        <f>-('R7 - Financing'!E$66*INDEX(Data!$G$14:$G$30,MATCH('R10 - Tax'!E$6,Data!$C$14:$C$30,0),1))</f>
        <v>0.20160026078644072</v>
      </c>
      <c r="F50" s="948">
        <f>-('R7 - Financing'!F$66*INDEX(Data!$G$14:$G$30,MATCH('R10 - Tax'!F$6,Data!$C$14:$C$30,0),1))</f>
        <v>0.78931265841155795</v>
      </c>
      <c r="G50" s="948">
        <f>-('R7 - Financing'!G$66*INDEX(Data!$G$14:$G$30,MATCH('R10 - Tax'!G$6,Data!$C$14:$C$30,0),1))</f>
        <v>0.17397695440284913</v>
      </c>
      <c r="H50" s="948">
        <f>-('R7 - Financing'!H$66*INDEX(Data!$G$14:$G$30,MATCH('R10 - Tax'!H$6,Data!$C$14:$C$30,0),1))</f>
        <v>7.5693703093020507E-3</v>
      </c>
      <c r="I50" s="948">
        <f>-('R7 - Financing'!I$66*INDEX(Data!$G$14:$G$30,MATCH('R10 - Tax'!I$6,Data!$C$14:$C$30,0),1))</f>
        <v>-9.785329444779757E-3</v>
      </c>
      <c r="J50" s="948">
        <f>-('R7 - Financing'!J$66*INDEX(Data!$G$14:$G$30,MATCH('R10 - Tax'!J$6,Data!$C$14:$C$30,0),1))</f>
        <v>1.5458498244551157E-3</v>
      </c>
      <c r="K50" s="948">
        <f>-('R7 - Financing'!K$66*INDEX(Data!$G$14:$G$30,MATCH('R10 - Tax'!K$6,Data!$C$14:$C$30,0),1))</f>
        <v>2.2063318823035425E-3</v>
      </c>
      <c r="L50" s="265"/>
    </row>
    <row r="51" spans="2:14" s="29" customFormat="1">
      <c r="B51" s="823" t="s">
        <v>394</v>
      </c>
      <c r="C51" s="265" t="s">
        <v>125</v>
      </c>
      <c r="D51" s="735">
        <f>SUM(D49:D50)</f>
        <v>15.766487472933733</v>
      </c>
      <c r="E51" s="736">
        <f t="shared" ref="E51:K51" si="6">SUM(E49:E50)</f>
        <v>11.75236665057472</v>
      </c>
      <c r="F51" s="736">
        <f t="shared" si="6"/>
        <v>11.773091785559675</v>
      </c>
      <c r="G51" s="736">
        <f t="shared" si="6"/>
        <v>12.923951091009723</v>
      </c>
      <c r="H51" s="736">
        <f t="shared" si="6"/>
        <v>10.957713230745846</v>
      </c>
      <c r="I51" s="736">
        <f t="shared" si="6"/>
        <v>10.645337756616435</v>
      </c>
      <c r="J51" s="736">
        <f t="shared" si="6"/>
        <v>11.646099430932249</v>
      </c>
      <c r="K51" s="737">
        <f t="shared" si="6"/>
        <v>17.284581403989584</v>
      </c>
      <c r="L51" s="799"/>
    </row>
    <row r="53" spans="2:14">
      <c r="B53" s="823" t="s">
        <v>394</v>
      </c>
      <c r="C53" s="386" t="str">
        <f>'RFPR cover'!$C$14</f>
        <v>£m 09/10</v>
      </c>
      <c r="D53" s="735">
        <f>D51/D39</f>
        <v>13.51387264511404</v>
      </c>
      <c r="E53" s="736">
        <f t="shared" ref="E53:K53" si="7">E51/E39</f>
        <v>9.8796218255348602</v>
      </c>
      <c r="F53" s="736">
        <f t="shared" si="7"/>
        <v>9.7915249613382045</v>
      </c>
      <c r="G53" s="736">
        <f t="shared" si="7"/>
        <v>10.523193738127546</v>
      </c>
      <c r="H53" s="736">
        <f t="shared" si="7"/>
        <v>8.6003787109081529</v>
      </c>
      <c r="I53" s="736">
        <f t="shared" si="7"/>
        <v>8.1074752274268942</v>
      </c>
      <c r="J53" s="736">
        <f t="shared" si="7"/>
        <v>8.6458389906275031</v>
      </c>
      <c r="K53" s="737">
        <f t="shared" si="7"/>
        <v>12.521823823742142</v>
      </c>
    </row>
    <row r="54" spans="2:14">
      <c r="B54" s="823"/>
      <c r="C54" s="386"/>
      <c r="D54" s="386"/>
      <c r="E54" s="386"/>
      <c r="F54" s="386"/>
      <c r="G54" s="386"/>
      <c r="H54" s="386"/>
      <c r="I54" s="386"/>
      <c r="J54" s="386"/>
      <c r="K54" s="386"/>
    </row>
    <row r="56" spans="2:14">
      <c r="B56" s="782" t="s">
        <v>360</v>
      </c>
      <c r="C56" s="783"/>
      <c r="D56" s="783"/>
      <c r="E56" s="783"/>
      <c r="F56" s="783"/>
      <c r="G56" s="783"/>
      <c r="H56" s="783"/>
      <c r="I56" s="783"/>
      <c r="J56" s="783"/>
      <c r="K56" s="783"/>
      <c r="L56" s="783"/>
      <c r="M56" s="479"/>
    </row>
    <row r="57" spans="2:14" s="29" customFormat="1">
      <c r="B57" s="480"/>
      <c r="C57" s="479"/>
      <c r="D57" s="479"/>
      <c r="E57" s="479"/>
      <c r="F57" s="479"/>
      <c r="G57" s="479"/>
      <c r="H57" s="479"/>
      <c r="I57" s="479"/>
      <c r="J57" s="479"/>
      <c r="K57" s="479"/>
      <c r="L57" s="479"/>
      <c r="M57" s="479"/>
    </row>
    <row r="58" spans="2:14">
      <c r="B58" s="357" t="s">
        <v>457</v>
      </c>
      <c r="C58" s="290"/>
      <c r="D58" s="290"/>
      <c r="E58" s="290"/>
      <c r="F58" s="290"/>
      <c r="G58" s="290"/>
      <c r="H58" s="290"/>
      <c r="I58" s="290"/>
      <c r="J58" s="290"/>
      <c r="K58" s="290"/>
      <c r="L58" s="290"/>
      <c r="M58" s="199"/>
      <c r="N58" s="199"/>
    </row>
    <row r="59" spans="2:14" s="29" customFormat="1">
      <c r="B59" s="362"/>
      <c r="C59" s="33"/>
      <c r="D59" s="33"/>
      <c r="E59" s="33"/>
      <c r="F59" s="33"/>
      <c r="G59" s="33"/>
      <c r="H59" s="33"/>
      <c r="I59" s="33"/>
      <c r="J59" s="33"/>
      <c r="K59" s="33"/>
      <c r="L59" s="33"/>
      <c r="M59" s="35"/>
      <c r="N59" s="35"/>
    </row>
    <row r="60" spans="2:14">
      <c r="B60" s="199" t="s">
        <v>359</v>
      </c>
      <c r="C60" s="209" t="str">
        <f>'RFPR cover'!$C$14</f>
        <v>£m 09/10</v>
      </c>
      <c r="D60" s="572">
        <v>13.217253196107102</v>
      </c>
      <c r="E60" s="573">
        <v>13.838030654595133</v>
      </c>
      <c r="F60" s="573">
        <v>10.808455032327377</v>
      </c>
      <c r="G60" s="573">
        <v>7.3932355708479944</v>
      </c>
      <c r="H60" s="573">
        <v>8.9970214154398995</v>
      </c>
      <c r="I60" s="573">
        <v>9.2388558900818509</v>
      </c>
      <c r="J60" s="573">
        <v>11.554303158647464</v>
      </c>
      <c r="K60" s="675">
        <v>12.366639906242414</v>
      </c>
    </row>
    <row r="61" spans="2:14">
      <c r="B61" s="199" t="s">
        <v>362</v>
      </c>
      <c r="C61" s="209" t="str">
        <f>'RFPR cover'!$C$14</f>
        <v>£m 09/10</v>
      </c>
      <c r="D61" s="580">
        <v>0</v>
      </c>
      <c r="E61" s="581">
        <v>0</v>
      </c>
      <c r="F61" s="581">
        <v>0</v>
      </c>
      <c r="G61" s="581">
        <v>0</v>
      </c>
      <c r="H61" s="581">
        <v>-0.14514811704641595</v>
      </c>
      <c r="I61" s="581">
        <v>-0.14067581242895422</v>
      </c>
      <c r="J61" s="581">
        <v>3.1972598568864719</v>
      </c>
      <c r="K61" s="674">
        <v>0.59544150884417668</v>
      </c>
    </row>
    <row r="62" spans="2:14">
      <c r="B62" s="199" t="s">
        <v>363</v>
      </c>
      <c r="C62" s="209" t="str">
        <f>'RFPR cover'!$C$14</f>
        <v>£m 09/10</v>
      </c>
      <c r="D62" s="636">
        <f t="shared" ref="D62:K62" si="8">SUM(D60:D61)</f>
        <v>13.217253196107102</v>
      </c>
      <c r="E62" s="637">
        <f t="shared" si="8"/>
        <v>13.838030654595133</v>
      </c>
      <c r="F62" s="637">
        <f t="shared" si="8"/>
        <v>10.808455032327377</v>
      </c>
      <c r="G62" s="637">
        <f t="shared" si="8"/>
        <v>7.3932355708479944</v>
      </c>
      <c r="H62" s="637">
        <f t="shared" si="8"/>
        <v>8.8518732983934836</v>
      </c>
      <c r="I62" s="637">
        <f t="shared" si="8"/>
        <v>9.0981800776528967</v>
      </c>
      <c r="J62" s="637">
        <f t="shared" si="8"/>
        <v>14.751563015533936</v>
      </c>
      <c r="K62" s="638">
        <f t="shared" si="8"/>
        <v>12.96208141508659</v>
      </c>
    </row>
    <row r="63" spans="2:14">
      <c r="B63" s="199"/>
      <c r="C63" s="209"/>
      <c r="D63" s="209"/>
      <c r="E63" s="209"/>
      <c r="F63" s="209"/>
      <c r="G63" s="209"/>
      <c r="H63" s="209"/>
      <c r="I63" s="209"/>
      <c r="J63" s="209"/>
      <c r="K63" s="209"/>
      <c r="L63" s="209"/>
    </row>
    <row r="64" spans="2:14">
      <c r="B64" s="502" t="s">
        <v>458</v>
      </c>
      <c r="C64" s="290"/>
      <c r="D64" s="290"/>
      <c r="E64" s="290"/>
      <c r="F64" s="290"/>
      <c r="G64" s="290"/>
      <c r="H64" s="290"/>
      <c r="I64" s="290"/>
      <c r="J64" s="290"/>
      <c r="K64" s="290"/>
      <c r="L64" s="290"/>
    </row>
    <row r="65" spans="2:13" s="29" customFormat="1">
      <c r="B65" s="503"/>
      <c r="C65" s="33"/>
      <c r="D65" s="944"/>
      <c r="E65" s="944"/>
      <c r="F65" s="944"/>
      <c r="G65" s="944"/>
      <c r="H65" s="944"/>
      <c r="I65" s="33"/>
      <c r="J65" s="33"/>
      <c r="K65" s="33"/>
      <c r="L65" s="33"/>
    </row>
    <row r="66" spans="2:13">
      <c r="B66" s="199" t="s">
        <v>350</v>
      </c>
      <c r="C66" s="209" t="str">
        <f>'RFPR cover'!$C$14</f>
        <v>£m 09/10</v>
      </c>
      <c r="D66" s="572">
        <v>11.790121899599219</v>
      </c>
      <c r="E66" s="573">
        <v>11.568712691378572</v>
      </c>
      <c r="F66" s="573">
        <v>9.4228730510029255</v>
      </c>
      <c r="G66" s="573">
        <v>8.221342705029981</v>
      </c>
      <c r="H66" s="573">
        <v>8.6839782327169459</v>
      </c>
      <c r="I66" s="573">
        <v>7.8754011144520204</v>
      </c>
      <c r="J66" s="573">
        <v>5.5841818590353736</v>
      </c>
      <c r="K66" s="675">
        <v>9.426117540178554</v>
      </c>
    </row>
    <row r="67" spans="2:13">
      <c r="B67" s="199" t="s">
        <v>365</v>
      </c>
      <c r="C67" s="209" t="str">
        <f>'RFPR cover'!$C$14</f>
        <v>£m 09/10</v>
      </c>
      <c r="D67" s="580">
        <v>0</v>
      </c>
      <c r="E67" s="581">
        <v>0</v>
      </c>
      <c r="F67" s="581">
        <v>0</v>
      </c>
      <c r="G67" s="581">
        <v>0</v>
      </c>
      <c r="H67" s="581">
        <v>-0.14514811704641595</v>
      </c>
      <c r="I67" s="581">
        <v>-0.14067581242895422</v>
      </c>
      <c r="J67" s="581">
        <v>3.1972598568864719</v>
      </c>
      <c r="K67" s="674">
        <v>0.59544150884417668</v>
      </c>
    </row>
    <row r="68" spans="2:13">
      <c r="B68" s="14" t="s">
        <v>366</v>
      </c>
      <c r="C68" s="209" t="str">
        <f>'RFPR cover'!$C$14</f>
        <v>£m 09/10</v>
      </c>
      <c r="D68" s="600">
        <f t="shared" ref="D68:K68" si="9">SUM(D66:D67)</f>
        <v>11.790121899599219</v>
      </c>
      <c r="E68" s="601">
        <f t="shared" si="9"/>
        <v>11.568712691378572</v>
      </c>
      <c r="F68" s="601">
        <f t="shared" si="9"/>
        <v>9.4228730510029255</v>
      </c>
      <c r="G68" s="601">
        <f t="shared" si="9"/>
        <v>8.221342705029981</v>
      </c>
      <c r="H68" s="601">
        <f t="shared" si="9"/>
        <v>8.53883011567053</v>
      </c>
      <c r="I68" s="601">
        <f t="shared" si="9"/>
        <v>7.7347253020230662</v>
      </c>
      <c r="J68" s="601">
        <f t="shared" si="9"/>
        <v>8.7814417159218454</v>
      </c>
      <c r="K68" s="602">
        <f t="shared" si="9"/>
        <v>10.021559049022731</v>
      </c>
    </row>
    <row r="69" spans="2:13" s="29" customFormat="1">
      <c r="B69" s="503"/>
      <c r="C69" s="33"/>
      <c r="D69"/>
      <c r="E69"/>
      <c r="F69"/>
      <c r="G69"/>
      <c r="H69"/>
      <c r="I69"/>
      <c r="J69"/>
      <c r="K69"/>
      <c r="L69" s="33"/>
    </row>
    <row r="70" spans="2:13" s="29" customFormat="1">
      <c r="B70" s="504" t="s">
        <v>364</v>
      </c>
      <c r="C70" s="33"/>
      <c r="D70" s="693">
        <f t="shared" ref="D70:K70" si="10">D68-D62</f>
        <v>-1.4271312965078824</v>
      </c>
      <c r="E70" s="694">
        <f t="shared" si="10"/>
        <v>-2.2693179632165617</v>
      </c>
      <c r="F70" s="694">
        <f t="shared" si="10"/>
        <v>-1.3855819813244512</v>
      </c>
      <c r="G70" s="694">
        <f t="shared" si="10"/>
        <v>0.82810713418198656</v>
      </c>
      <c r="H70" s="694">
        <f t="shared" si="10"/>
        <v>-0.31304318272295362</v>
      </c>
      <c r="I70" s="694">
        <f t="shared" si="10"/>
        <v>-1.3634547756298305</v>
      </c>
      <c r="J70" s="694">
        <f t="shared" si="10"/>
        <v>-5.9701212996120905</v>
      </c>
      <c r="K70" s="695">
        <f t="shared" si="10"/>
        <v>-2.9405223660638597</v>
      </c>
      <c r="L70" s="33"/>
    </row>
    <row r="71" spans="2:13">
      <c r="B71" s="199" t="s">
        <v>361</v>
      </c>
      <c r="C71" s="209" t="str">
        <f>'RFPR cover'!$C$14</f>
        <v>£m 09/10</v>
      </c>
      <c r="D71" s="576">
        <v>0</v>
      </c>
      <c r="E71" s="577">
        <v>0</v>
      </c>
      <c r="F71" s="577">
        <v>0</v>
      </c>
      <c r="G71" s="577">
        <v>0</v>
      </c>
      <c r="H71" s="577">
        <v>0</v>
      </c>
      <c r="I71" s="577">
        <v>0</v>
      </c>
      <c r="J71" s="577">
        <v>0</v>
      </c>
      <c r="K71" s="673">
        <v>0</v>
      </c>
    </row>
    <row r="72" spans="2:13">
      <c r="B72" s="199" t="s">
        <v>412</v>
      </c>
      <c r="C72" s="209" t="str">
        <f>'RFPR cover'!$C$14</f>
        <v>£m 09/10</v>
      </c>
      <c r="D72" s="576">
        <v>0</v>
      </c>
      <c r="E72" s="577">
        <v>0</v>
      </c>
      <c r="F72" s="577">
        <v>0</v>
      </c>
      <c r="G72" s="577">
        <v>0</v>
      </c>
      <c r="H72" s="577">
        <v>0</v>
      </c>
      <c r="I72" s="577">
        <v>0</v>
      </c>
      <c r="J72" s="577">
        <v>0</v>
      </c>
      <c r="K72" s="673">
        <v>0</v>
      </c>
    </row>
    <row r="73" spans="2:13">
      <c r="B73" s="199" t="s">
        <v>328</v>
      </c>
      <c r="C73" s="209" t="str">
        <f>'RFPR cover'!$C$14</f>
        <v>£m 09/10</v>
      </c>
      <c r="D73" s="738">
        <v>-1.4271312965078824</v>
      </c>
      <c r="E73" s="739">
        <v>-2.2693179632165617</v>
      </c>
      <c r="F73" s="739">
        <v>-1.3855819813244512</v>
      </c>
      <c r="G73" s="739">
        <v>0.82810713418198656</v>
      </c>
      <c r="H73" s="739">
        <v>-0.31304318272295362</v>
      </c>
      <c r="I73" s="739">
        <v>-1.3634547756298305</v>
      </c>
      <c r="J73" s="739">
        <v>-5.9701212996120905</v>
      </c>
      <c r="K73" s="740">
        <v>-2.9405223660638597</v>
      </c>
    </row>
    <row r="74" spans="2:13">
      <c r="B74" s="199" t="s">
        <v>119</v>
      </c>
      <c r="C74" s="209" t="str">
        <f>'RFPR cover'!$C$14</f>
        <v>£m 09/10</v>
      </c>
      <c r="D74" s="505" t="str">
        <f>IF(ABS(D70-SUM(D71:D73))&lt;'RFPR cover'!$F$14,"OK","ERROR")</f>
        <v>OK</v>
      </c>
      <c r="E74" s="506" t="str">
        <f>IF(ABS(E70-SUM(E71:E73))&lt;'RFPR cover'!$F$14,"OK","ERROR")</f>
        <v>OK</v>
      </c>
      <c r="F74" s="506" t="str">
        <f>IF(ABS(F70-SUM(F71:F73))&lt;'RFPR cover'!$F$14,"OK","ERROR")</f>
        <v>OK</v>
      </c>
      <c r="G74" s="506" t="str">
        <f>IF(ABS(G70-SUM(G71:G73))&lt;'RFPR cover'!$F$14,"OK","ERROR")</f>
        <v>OK</v>
      </c>
      <c r="H74" s="506" t="str">
        <f>IF(ABS(H70-SUM(H71:H73))&lt;'RFPR cover'!$F$14,"OK","ERROR")</f>
        <v>OK</v>
      </c>
      <c r="I74" s="506" t="str">
        <f>IF(ABS(I70-SUM(I71:I73))&lt;'RFPR cover'!$F$14,"OK","ERROR")</f>
        <v>OK</v>
      </c>
      <c r="J74" s="506" t="str">
        <f>IF(ABS(J70-SUM(J71:J73))&lt;'RFPR cover'!$F$14,"OK","ERROR")</f>
        <v>OK</v>
      </c>
      <c r="K74" s="507" t="str">
        <f>IF(ABS(K70-SUM(K71:K73))&lt;'RFPR cover'!$F$14,"OK","ERROR")</f>
        <v>OK</v>
      </c>
    </row>
    <row r="75" spans="2:13">
      <c r="B75" s="199"/>
      <c r="C75" s="199"/>
      <c r="D75" s="199"/>
      <c r="E75" s="199"/>
      <c r="F75" s="199"/>
      <c r="G75" s="199"/>
      <c r="H75" s="199"/>
      <c r="I75" s="199"/>
      <c r="J75" s="199"/>
      <c r="K75" s="199"/>
      <c r="L75" s="199"/>
      <c r="M75" s="199"/>
    </row>
    <row r="77" spans="2:13">
      <c r="B77" s="827" t="s">
        <v>414</v>
      </c>
      <c r="C77" s="827"/>
      <c r="D77" s="827"/>
      <c r="E77" s="827"/>
      <c r="F77" s="827"/>
      <c r="G77" s="827"/>
      <c r="H77" s="827"/>
      <c r="I77" s="827"/>
      <c r="J77" s="827"/>
      <c r="K77" s="827"/>
      <c r="L77" s="827"/>
    </row>
    <row r="79" spans="2:13">
      <c r="B79" s="14" t="s">
        <v>415</v>
      </c>
      <c r="C79" s="210" t="str">
        <f>'RFPR cover'!$C$14</f>
        <v>£m 09/10</v>
      </c>
      <c r="D79" s="600">
        <f t="shared" ref="D79:K79" si="11">D$68-D41</f>
        <v>-1.8691944527144138</v>
      </c>
      <c r="E79" s="601">
        <f t="shared" si="11"/>
        <v>1.8585660358854703</v>
      </c>
      <c r="F79" s="601">
        <f t="shared" si="11"/>
        <v>0.28780900391805986</v>
      </c>
      <c r="G79" s="601">
        <f t="shared" si="11"/>
        <v>-2.1601920942592621</v>
      </c>
      <c r="H79" s="601">
        <f t="shared" si="11"/>
        <v>-5.5607624718296833E-2</v>
      </c>
      <c r="I79" s="601">
        <f t="shared" si="11"/>
        <v>-0.38020241943263056</v>
      </c>
      <c r="J79" s="601">
        <f t="shared" si="11"/>
        <v>0.13675033430843264</v>
      </c>
      <c r="K79" s="602">
        <f t="shared" si="11"/>
        <v>-2.4986663964607096</v>
      </c>
    </row>
    <row r="80" spans="2:13">
      <c r="B80" s="14"/>
      <c r="C80" s="14"/>
      <c r="D80" s="14"/>
      <c r="E80" s="14"/>
      <c r="F80" s="14"/>
      <c r="G80" s="14"/>
      <c r="H80" s="14"/>
      <c r="I80" s="14"/>
      <c r="J80" s="14"/>
      <c r="K80" s="14"/>
    </row>
    <row r="81" spans="2:11">
      <c r="B81" s="14" t="s">
        <v>426</v>
      </c>
      <c r="C81" s="210" t="str">
        <f>'RFPR cover'!$C$14</f>
        <v>£m 09/10</v>
      </c>
      <c r="D81" s="600">
        <f>D$68-D53</f>
        <v>-1.7237507455148204</v>
      </c>
      <c r="E81" s="601">
        <f t="shared" ref="E81:K81" si="12">E$68-E53</f>
        <v>1.6890908658437116</v>
      </c>
      <c r="F81" s="601">
        <f t="shared" si="12"/>
        <v>-0.368651910335279</v>
      </c>
      <c r="G81" s="601">
        <f t="shared" si="12"/>
        <v>-2.3018510330975648</v>
      </c>
      <c r="H81" s="601">
        <f t="shared" si="12"/>
        <v>-6.1548595237622905E-2</v>
      </c>
      <c r="I81" s="601">
        <f t="shared" si="12"/>
        <v>-0.37274992540382801</v>
      </c>
      <c r="J81" s="601">
        <f t="shared" si="12"/>
        <v>0.13560272529434236</v>
      </c>
      <c r="K81" s="602">
        <f t="shared" si="12"/>
        <v>-2.5002647747194118</v>
      </c>
    </row>
    <row r="83" spans="2:11">
      <c r="B83" s="14" t="s">
        <v>425</v>
      </c>
      <c r="C83" s="210" t="str">
        <f>'RFPR cover'!$C$14</f>
        <v>£m 09/10</v>
      </c>
      <c r="D83" s="600">
        <f>D79-D81</f>
        <v>-0.14544370719959332</v>
      </c>
      <c r="E83" s="601">
        <f t="shared" ref="E83:K83" si="13">E79-E81</f>
        <v>0.16947517004175872</v>
      </c>
      <c r="F83" s="601">
        <f t="shared" si="13"/>
        <v>0.65646091425333886</v>
      </c>
      <c r="G83" s="601">
        <f t="shared" si="13"/>
        <v>0.14165893883830272</v>
      </c>
      <c r="H83" s="601">
        <f t="shared" si="13"/>
        <v>5.940970519326072E-3</v>
      </c>
      <c r="I83" s="601">
        <f t="shared" si="13"/>
        <v>-7.4524940288025476E-3</v>
      </c>
      <c r="J83" s="601">
        <f t="shared" si="13"/>
        <v>1.1476090140902784E-3</v>
      </c>
      <c r="K83" s="602">
        <f t="shared" si="13"/>
        <v>1.5983782587021267E-3</v>
      </c>
    </row>
    <row r="85" spans="2:11">
      <c r="B85" s="29" t="s">
        <v>508</v>
      </c>
      <c r="C85" s="265" t="s">
        <v>125</v>
      </c>
      <c r="D85" s="576"/>
      <c r="E85" s="576"/>
      <c r="F85" s="576"/>
      <c r="G85" s="576"/>
      <c r="H85" s="576"/>
      <c r="I85" s="576"/>
      <c r="J85" s="576"/>
      <c r="K85" s="576"/>
    </row>
    <row r="86" spans="2:11">
      <c r="B86" s="29" t="s">
        <v>508</v>
      </c>
      <c r="C86" s="386" t="str">
        <f>'RFPR cover'!$C$14</f>
        <v>£m 09/10</v>
      </c>
      <c r="D86" s="779">
        <f>D85/D$39</f>
        <v>0</v>
      </c>
      <c r="E86" s="779">
        <f t="shared" ref="E86:K86" si="14">E85/E$39</f>
        <v>0</v>
      </c>
      <c r="F86" s="779">
        <f t="shared" si="14"/>
        <v>0</v>
      </c>
      <c r="G86" s="779">
        <f t="shared" si="14"/>
        <v>0</v>
      </c>
      <c r="H86" s="779">
        <f t="shared" si="14"/>
        <v>0</v>
      </c>
      <c r="I86" s="779">
        <f t="shared" si="14"/>
        <v>0</v>
      </c>
      <c r="J86" s="779">
        <f t="shared" si="14"/>
        <v>0</v>
      </c>
      <c r="K86" s="779">
        <f t="shared" si="14"/>
        <v>0</v>
      </c>
    </row>
    <row r="87" spans="2:11">
      <c r="B87" s="29" t="s">
        <v>509</v>
      </c>
      <c r="C87" s="265" t="s">
        <v>125</v>
      </c>
      <c r="D87" s="576"/>
      <c r="E87" s="576"/>
      <c r="F87" s="576"/>
      <c r="G87" s="576"/>
      <c r="H87" s="576"/>
      <c r="I87" s="576"/>
      <c r="J87" s="576"/>
      <c r="K87" s="576"/>
    </row>
    <row r="88" spans="2:11">
      <c r="B88" t="s">
        <v>509</v>
      </c>
      <c r="C88" s="386" t="str">
        <f>'RFPR cover'!$C$14</f>
        <v>£m 09/10</v>
      </c>
      <c r="D88" s="779">
        <f>D87/D$39</f>
        <v>0</v>
      </c>
      <c r="E88" s="779">
        <f t="shared" ref="E88:K88" si="15">E87/E$39</f>
        <v>0</v>
      </c>
      <c r="F88" s="779">
        <f t="shared" si="15"/>
        <v>0</v>
      </c>
      <c r="G88" s="779">
        <f t="shared" si="15"/>
        <v>0</v>
      </c>
      <c r="H88" s="779">
        <f t="shared" si="15"/>
        <v>0</v>
      </c>
      <c r="I88" s="779">
        <f t="shared" si="15"/>
        <v>0</v>
      </c>
      <c r="J88" s="779">
        <f t="shared" si="15"/>
        <v>0</v>
      </c>
      <c r="K88" s="779">
        <f t="shared" si="15"/>
        <v>0</v>
      </c>
    </row>
    <row r="89" spans="2:11">
      <c r="B89" t="s">
        <v>511</v>
      </c>
      <c r="C89" s="386" t="str">
        <f>'RFPR cover'!$C$14</f>
        <v>£m 09/10</v>
      </c>
      <c r="D89" s="779">
        <f>D86-D88</f>
        <v>0</v>
      </c>
      <c r="E89" s="779">
        <f t="shared" ref="E89:K89" si="16">E86-E88</f>
        <v>0</v>
      </c>
      <c r="F89" s="779">
        <f t="shared" si="16"/>
        <v>0</v>
      </c>
      <c r="G89" s="779">
        <f t="shared" si="16"/>
        <v>0</v>
      </c>
      <c r="H89" s="779">
        <f t="shared" si="16"/>
        <v>0</v>
      </c>
      <c r="I89" s="779">
        <f t="shared" si="16"/>
        <v>0</v>
      </c>
      <c r="J89" s="779">
        <f t="shared" si="16"/>
        <v>0</v>
      </c>
      <c r="K89" s="779">
        <f t="shared" si="16"/>
        <v>0</v>
      </c>
    </row>
  </sheetData>
  <conditionalFormatting sqref="D6:K7">
    <cfRule type="expression" dxfId="22" priority="69">
      <formula>AND(D$6="Actuals",E$6="Forecast")</formula>
    </cfRule>
  </conditionalFormatting>
  <conditionalFormatting sqref="D5:K5">
    <cfRule type="expression" dxfId="21" priority="44">
      <formula>AND(D$5="Actuals",E$5="Forecast")</formula>
    </cfRule>
  </conditionalFormatting>
  <conditionalFormatting sqref="D36:K36">
    <cfRule type="expression" dxfId="20" priority="12">
      <formula>AND(D$5="Actuals",E$5="Actuals")</formula>
    </cfRule>
  </conditionalFormatting>
  <conditionalFormatting sqref="D12:K12 D15:K19 D24:K33">
    <cfRule type="expression" dxfId="19" priority="11">
      <formula>NOT(AND(D$5="Actuals"))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3.125" bestFit="1" customWidth="1"/>
    <col min="3" max="3" width="14.125" customWidth="1"/>
    <col min="4" max="11" width="11.125" customWidth="1"/>
    <col min="12" max="12" width="5" customWidth="1"/>
    <col min="17" max="17" width="13.125" customWidth="1"/>
  </cols>
  <sheetData>
    <row r="1" spans="1:18" s="29" customFormat="1" ht="20.25">
      <c r="A1" s="917" t="s">
        <v>255</v>
      </c>
      <c r="B1" s="928"/>
      <c r="C1" s="119"/>
      <c r="D1" s="119"/>
      <c r="E1" s="119"/>
      <c r="F1" s="119"/>
      <c r="G1" s="119"/>
      <c r="H1" s="119"/>
      <c r="I1" s="125"/>
      <c r="J1" s="125"/>
      <c r="K1" s="126"/>
      <c r="L1" s="127"/>
    </row>
    <row r="2" spans="1:18" s="29" customFormat="1" ht="20.25">
      <c r="A2" s="902" t="str">
        <f>'RFPR cover'!C5</f>
        <v>SPT</v>
      </c>
      <c r="B2" s="895"/>
      <c r="C2" s="27"/>
      <c r="D2" s="27"/>
      <c r="E2" s="27"/>
      <c r="F2" s="27"/>
      <c r="G2" s="27"/>
      <c r="H2" s="27"/>
      <c r="I2" s="25"/>
      <c r="J2" s="25"/>
      <c r="K2" s="25"/>
      <c r="L2" s="122"/>
    </row>
    <row r="3" spans="1:18" s="29" customFormat="1" ht="23.25">
      <c r="A3" s="919">
        <f>'RFPR cover'!C7</f>
        <v>2020</v>
      </c>
      <c r="B3" s="911" t="str">
        <f>'R1 - RoRE'!B3</f>
        <v/>
      </c>
      <c r="C3" s="123"/>
      <c r="D3" s="123"/>
      <c r="E3" s="123"/>
      <c r="F3" s="123"/>
      <c r="G3" s="123"/>
      <c r="H3" s="123"/>
      <c r="I3" s="26"/>
      <c r="J3" s="26"/>
      <c r="K3" s="26"/>
      <c r="L3" s="124"/>
    </row>
    <row r="4" spans="1:18" s="2" customFormat="1" ht="12.75" customHeight="1"/>
    <row r="5" spans="1:18" s="2" customFormat="1">
      <c r="B5" s="3"/>
      <c r="C5" s="3"/>
      <c r="D5" s="379" t="str">
        <f>IF(D6&lt;='RFPR cover'!$C$7,"Actuals","N/A")</f>
        <v>Actuals</v>
      </c>
      <c r="E5" s="380" t="str">
        <f>IF(E6&lt;='RFPR cover'!$C$7,"Actuals","N/A")</f>
        <v>Actuals</v>
      </c>
      <c r="F5" s="380" t="str">
        <f>IF(F6&lt;='RFPR cover'!$C$7,"Actuals","N/A")</f>
        <v>Actuals</v>
      </c>
      <c r="G5" s="380" t="str">
        <f>IF(G6&lt;='RFPR cover'!$C$7,"Actuals","N/A")</f>
        <v>Actuals</v>
      </c>
      <c r="H5" s="380" t="str">
        <f>IF(H6&lt;='RFPR cover'!$C$7,"Actuals","N/A")</f>
        <v>Actuals</v>
      </c>
      <c r="I5" s="380" t="str">
        <f>IF(I6&lt;='RFPR cover'!$C$7,"Actuals","N/A")</f>
        <v>Actuals</v>
      </c>
      <c r="J5" s="380" t="str">
        <f>IF(J6&lt;='RFPR cover'!$C$7,"Actuals","N/A")</f>
        <v>Actuals</v>
      </c>
      <c r="K5" s="381" t="str">
        <f>IF(K6&lt;='RFPR cover'!$C$7,"Actuals","N/A")</f>
        <v>N/A</v>
      </c>
    </row>
    <row r="6" spans="1:18" s="2" customFormat="1">
      <c r="D6" s="116">
        <f>'RFPR cover'!$C$13</f>
        <v>2014</v>
      </c>
      <c r="E6" s="117">
        <f>D6+1</f>
        <v>2015</v>
      </c>
      <c r="F6" s="117">
        <f t="shared" ref="F6:K6" si="0">E6+1</f>
        <v>2016</v>
      </c>
      <c r="G6" s="117">
        <f t="shared" si="0"/>
        <v>2017</v>
      </c>
      <c r="H6" s="117">
        <f t="shared" si="0"/>
        <v>2018</v>
      </c>
      <c r="I6" s="117">
        <f t="shared" si="0"/>
        <v>2019</v>
      </c>
      <c r="J6" s="117">
        <f t="shared" si="0"/>
        <v>2020</v>
      </c>
      <c r="K6" s="194">
        <f t="shared" si="0"/>
        <v>2021</v>
      </c>
    </row>
    <row r="7" spans="1:18" s="2" customFormat="1"/>
    <row r="8" spans="1:18">
      <c r="B8" s="14" t="s">
        <v>226</v>
      </c>
      <c r="C8" s="151" t="s">
        <v>125</v>
      </c>
      <c r="D8" s="628">
        <v>169</v>
      </c>
      <c r="E8" s="629">
        <v>229</v>
      </c>
      <c r="F8" s="629">
        <v>10</v>
      </c>
      <c r="G8" s="629">
        <v>72</v>
      </c>
      <c r="H8" s="629">
        <v>75.8</v>
      </c>
      <c r="I8" s="629">
        <v>91.5</v>
      </c>
      <c r="J8" s="629">
        <v>85</v>
      </c>
      <c r="K8" s="630"/>
    </row>
    <row r="9" spans="1:18">
      <c r="B9" s="15" t="s">
        <v>102</v>
      </c>
      <c r="C9" s="14"/>
      <c r="D9" s="741"/>
      <c r="E9" s="741"/>
      <c r="F9" s="741"/>
      <c r="G9" s="741"/>
      <c r="H9" s="741"/>
      <c r="I9" s="741"/>
      <c r="J9" s="741"/>
      <c r="K9" s="741"/>
    </row>
    <row r="10" spans="1:18">
      <c r="B10" s="420" t="s">
        <v>560</v>
      </c>
      <c r="C10" s="151" t="s">
        <v>125</v>
      </c>
      <c r="D10" s="584">
        <v>0</v>
      </c>
      <c r="E10" s="585">
        <v>0</v>
      </c>
      <c r="F10" s="585">
        <v>0</v>
      </c>
      <c r="G10" s="585">
        <v>0</v>
      </c>
      <c r="H10" s="585">
        <v>0</v>
      </c>
      <c r="I10" s="585">
        <v>0</v>
      </c>
      <c r="J10" s="585">
        <v>0</v>
      </c>
      <c r="K10" s="595"/>
    </row>
    <row r="11" spans="1:18">
      <c r="B11" s="420" t="s">
        <v>560</v>
      </c>
      <c r="C11" s="151" t="s">
        <v>125</v>
      </c>
      <c r="D11" s="586">
        <v>0</v>
      </c>
      <c r="E11" s="587">
        <v>0</v>
      </c>
      <c r="F11" s="587">
        <v>0</v>
      </c>
      <c r="G11" s="587">
        <v>0</v>
      </c>
      <c r="H11" s="587">
        <v>0</v>
      </c>
      <c r="I11" s="587">
        <v>0</v>
      </c>
      <c r="J11" s="587">
        <v>0</v>
      </c>
      <c r="K11" s="596"/>
    </row>
    <row r="12" spans="1:18">
      <c r="B12" s="420" t="s">
        <v>561</v>
      </c>
      <c r="C12" s="151" t="s">
        <v>125</v>
      </c>
      <c r="D12" s="597">
        <v>0</v>
      </c>
      <c r="E12" s="598">
        <v>0</v>
      </c>
      <c r="F12" s="598">
        <v>0</v>
      </c>
      <c r="G12" s="598">
        <v>0</v>
      </c>
      <c r="H12" s="598">
        <v>0</v>
      </c>
      <c r="I12" s="598">
        <v>0</v>
      </c>
      <c r="J12" s="598">
        <v>0</v>
      </c>
      <c r="K12" s="599"/>
      <c r="Q12" s="215"/>
    </row>
    <row r="13" spans="1:18">
      <c r="B13" s="14" t="s">
        <v>103</v>
      </c>
      <c r="C13" s="151" t="s">
        <v>125</v>
      </c>
      <c r="D13" s="730">
        <f>D8-SUM(D10:D12)</f>
        <v>169</v>
      </c>
      <c r="E13" s="731">
        <f t="shared" ref="E13:K13" si="1">E8-SUM(E10:E12)</f>
        <v>229</v>
      </c>
      <c r="F13" s="731">
        <f t="shared" si="1"/>
        <v>10</v>
      </c>
      <c r="G13" s="731">
        <f t="shared" si="1"/>
        <v>72</v>
      </c>
      <c r="H13" s="731">
        <f t="shared" si="1"/>
        <v>75.8</v>
      </c>
      <c r="I13" s="731">
        <f t="shared" ref="I13:J13" si="2">I8-SUM(I10:I12)</f>
        <v>91.5</v>
      </c>
      <c r="J13" s="731">
        <f t="shared" si="2"/>
        <v>85</v>
      </c>
      <c r="K13" s="732">
        <f t="shared" si="1"/>
        <v>0</v>
      </c>
      <c r="R13" s="214"/>
    </row>
    <row r="14" spans="1:18">
      <c r="C14" s="14"/>
      <c r="Q14" s="215"/>
    </row>
    <row r="15" spans="1:18">
      <c r="B15" s="14" t="s">
        <v>485</v>
      </c>
      <c r="C15" s="151" t="s">
        <v>125</v>
      </c>
      <c r="D15" s="584">
        <v>0</v>
      </c>
      <c r="E15" s="585">
        <v>0</v>
      </c>
      <c r="F15" s="585">
        <v>0</v>
      </c>
      <c r="G15" s="585">
        <v>0</v>
      </c>
      <c r="H15" s="585">
        <v>0</v>
      </c>
      <c r="I15" s="585">
        <v>0</v>
      </c>
      <c r="J15" s="585">
        <v>0</v>
      </c>
      <c r="K15" s="595"/>
    </row>
  </sheetData>
  <conditionalFormatting sqref="D6:K6">
    <cfRule type="expression" dxfId="18" priority="12">
      <formula>AND(D$5="Actuals",E$5="N/A")</formula>
    </cfRule>
  </conditionalFormatting>
  <conditionalFormatting sqref="D5:K5">
    <cfRule type="expression" dxfId="17" priority="5">
      <formula>AND(D$5="Actuals",E$5="N/A")</formula>
    </cfRule>
  </conditionalFormatting>
  <conditionalFormatting sqref="D8:H8 D5:K6 D10:H13 K10:K13 K8">
    <cfRule type="expression" dxfId="16" priority="4">
      <formula>D$5="N/A"</formula>
    </cfRule>
  </conditionalFormatting>
  <conditionalFormatting sqref="D15:H15 K15">
    <cfRule type="expression" dxfId="15" priority="3">
      <formula>D$5="N/A"</formula>
    </cfRule>
  </conditionalFormatting>
  <conditionalFormatting sqref="I8:J8 I10:J13">
    <cfRule type="expression" dxfId="14" priority="2">
      <formula>I$5="N/A"</formula>
    </cfRule>
  </conditionalFormatting>
  <conditionalFormatting sqref="I15:J15">
    <cfRule type="expression" dxfId="13" priority="1">
      <formula>I$5="N/A"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tabColor rgb="FFFFFFCC"/>
    <pageSetUpPr fitToPage="1"/>
  </sheetPr>
  <dimension ref="A1:L39"/>
  <sheetViews>
    <sheetView showGridLines="0" zoomScaleNormal="10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82" customWidth="1"/>
    <col min="3" max="3" width="14.125" customWidth="1"/>
    <col min="4" max="11" width="11.125" customWidth="1"/>
    <col min="12" max="12" width="5" customWidth="1"/>
  </cols>
  <sheetData>
    <row r="1" spans="1:12" s="29" customFormat="1" ht="20.25">
      <c r="A1" s="913" t="s">
        <v>254</v>
      </c>
      <c r="B1" s="909"/>
      <c r="C1" s="255"/>
      <c r="D1" s="255"/>
      <c r="E1" s="255"/>
      <c r="F1" s="255"/>
      <c r="G1" s="255"/>
      <c r="H1" s="255"/>
      <c r="I1" s="256"/>
      <c r="J1" s="256"/>
      <c r="K1" s="257"/>
      <c r="L1" s="258"/>
    </row>
    <row r="2" spans="1:12" s="29" customFormat="1" ht="20.25">
      <c r="A2" s="902" t="str">
        <f>'RFPR cover'!C5</f>
        <v>SPT</v>
      </c>
      <c r="B2" s="895"/>
      <c r="C2" s="27"/>
      <c r="D2" s="27"/>
      <c r="E2" s="27"/>
      <c r="F2" s="27"/>
      <c r="G2" s="27"/>
      <c r="H2" s="27"/>
      <c r="I2" s="25"/>
      <c r="J2" s="25"/>
      <c r="K2" s="25"/>
      <c r="L2" s="122"/>
    </row>
    <row r="3" spans="1:12" s="29" customFormat="1" ht="20.25">
      <c r="A3" s="905">
        <f>'RFPR cover'!C7</f>
        <v>2020</v>
      </c>
      <c r="B3" s="912"/>
      <c r="C3" s="259"/>
      <c r="D3" s="259"/>
      <c r="E3" s="259"/>
      <c r="F3" s="259"/>
      <c r="G3" s="259"/>
      <c r="H3" s="259"/>
      <c r="I3" s="254"/>
      <c r="J3" s="254"/>
      <c r="K3" s="254"/>
      <c r="L3" s="260"/>
    </row>
    <row r="4" spans="1:12" s="2" customFormat="1" ht="12.75" customHeight="1">
      <c r="A4" s="33"/>
      <c r="B4" s="268"/>
      <c r="C4" s="29"/>
      <c r="D4" s="269"/>
      <c r="E4" s="269"/>
      <c r="F4" s="33"/>
      <c r="G4" s="33"/>
      <c r="H4" s="33"/>
      <c r="I4" s="33"/>
      <c r="J4" s="33"/>
      <c r="K4" s="33"/>
    </row>
    <row r="5" spans="1:12" s="2" customFormat="1" ht="12.75" customHeight="1">
      <c r="A5" s="33"/>
      <c r="B5" s="268"/>
      <c r="C5" s="29"/>
      <c r="D5" s="379" t="str">
        <f>IF(D6&lt;='RFPR cover'!$C$7,"Actuals","Forecast")</f>
        <v>Actuals</v>
      </c>
      <c r="E5" s="380" t="str">
        <f>IF(E6&lt;='RFPR cover'!$C$7,"Actuals","Forecast")</f>
        <v>Actuals</v>
      </c>
      <c r="F5" s="380" t="str">
        <f>IF(F6&lt;='RFPR cover'!$C$7,"Actuals","Forecast")</f>
        <v>Actuals</v>
      </c>
      <c r="G5" s="380" t="str">
        <f>IF(G6&lt;='RFPR cover'!$C$7,"Actuals","Forecast")</f>
        <v>Actuals</v>
      </c>
      <c r="H5" s="380" t="str">
        <f>IF(H6&lt;='RFPR cover'!$C$7,"Actuals","Forecast")</f>
        <v>Actuals</v>
      </c>
      <c r="I5" s="380" t="str">
        <f>IF(I6&lt;='RFPR cover'!$C$7,"Actuals","Forecast")</f>
        <v>Actuals</v>
      </c>
      <c r="J5" s="380" t="str">
        <f>IF(J6&lt;='RFPR cover'!$C$7,"Actuals","Forecast")</f>
        <v>Actuals</v>
      </c>
      <c r="K5" s="381" t="str">
        <f>IF(K6&lt;='RFPR cover'!$C$7,"Actuals","Forecast")</f>
        <v>Forecast</v>
      </c>
    </row>
    <row r="6" spans="1:12" s="2" customFormat="1">
      <c r="A6" s="33"/>
      <c r="B6" s="33"/>
      <c r="C6" s="29"/>
      <c r="D6" s="116">
        <f>'RFPR cover'!$C$13</f>
        <v>2014</v>
      </c>
      <c r="E6" s="117">
        <f>D6+1</f>
        <v>2015</v>
      </c>
      <c r="F6" s="117">
        <f t="shared" ref="F6:K6" si="0">E6+1</f>
        <v>2016</v>
      </c>
      <c r="G6" s="117">
        <f t="shared" si="0"/>
        <v>2017</v>
      </c>
      <c r="H6" s="117">
        <f t="shared" si="0"/>
        <v>2018</v>
      </c>
      <c r="I6" s="117">
        <f t="shared" si="0"/>
        <v>2019</v>
      </c>
      <c r="J6" s="117">
        <f t="shared" si="0"/>
        <v>2020</v>
      </c>
      <c r="K6" s="194">
        <f t="shared" si="0"/>
        <v>2021</v>
      </c>
    </row>
    <row r="7" spans="1:12" s="2" customFormat="1">
      <c r="A7" s="33"/>
      <c r="B7" s="33"/>
      <c r="C7" s="29"/>
      <c r="D7" s="29"/>
      <c r="E7" s="29"/>
      <c r="F7" s="29"/>
      <c r="G7" s="29"/>
      <c r="H7" s="29"/>
      <c r="I7" s="29"/>
      <c r="J7" s="29"/>
      <c r="K7" s="29"/>
      <c r="L7" s="29"/>
    </row>
    <row r="8" spans="1:12">
      <c r="B8" s="14" t="s">
        <v>374</v>
      </c>
      <c r="C8" s="151" t="s">
        <v>125</v>
      </c>
      <c r="D8" s="742">
        <v>1.6475</v>
      </c>
      <c r="E8" s="743">
        <v>2.4194</v>
      </c>
      <c r="F8" s="743">
        <v>2.4749999999999996</v>
      </c>
      <c r="G8" s="743">
        <v>2.4952000000000005</v>
      </c>
      <c r="H8" s="743">
        <v>2.6197000000000004</v>
      </c>
      <c r="I8" s="743">
        <v>2.7210000000000001</v>
      </c>
      <c r="J8" s="743">
        <v>2.8109999999999999</v>
      </c>
      <c r="K8" s="744"/>
    </row>
    <row r="9" spans="1:12">
      <c r="B9" s="16" t="s">
        <v>22</v>
      </c>
      <c r="D9" s="741"/>
      <c r="E9" s="741"/>
      <c r="F9" s="741"/>
      <c r="G9" s="741"/>
      <c r="H9" s="741"/>
      <c r="I9" s="741"/>
      <c r="J9" s="741"/>
      <c r="K9" s="741"/>
    </row>
    <row r="10" spans="1:12">
      <c r="B10" t="s">
        <v>21</v>
      </c>
      <c r="C10" s="151" t="s">
        <v>125</v>
      </c>
      <c r="D10" s="667">
        <v>1.5</v>
      </c>
      <c r="E10" s="668">
        <v>2.2200000000000002</v>
      </c>
      <c r="F10" s="668">
        <v>2.27</v>
      </c>
      <c r="G10" s="668">
        <v>2.2890000000000001</v>
      </c>
      <c r="H10" s="668">
        <v>2.1880000000000002</v>
      </c>
      <c r="I10" s="668">
        <v>2.2730000000000001</v>
      </c>
      <c r="J10" s="668">
        <v>2.3479999999999999</v>
      </c>
      <c r="K10" s="669"/>
    </row>
    <row r="11" spans="1:12">
      <c r="B11" t="s">
        <v>23</v>
      </c>
      <c r="C11" s="151" t="s">
        <v>125</v>
      </c>
      <c r="D11" s="745">
        <v>0.14749999999999999</v>
      </c>
      <c r="E11" s="746">
        <v>0.19939999999999999</v>
      </c>
      <c r="F11" s="746">
        <v>0.20499999999999999</v>
      </c>
      <c r="G11" s="746">
        <v>0.20619999999999999</v>
      </c>
      <c r="H11" s="746">
        <v>0.43169999999999997</v>
      </c>
      <c r="I11" s="746">
        <v>0.44800000000000001</v>
      </c>
      <c r="J11" s="746">
        <v>0.46300000000000002</v>
      </c>
      <c r="K11" s="747"/>
    </row>
    <row r="12" spans="1:12">
      <c r="D12" s="741"/>
      <c r="E12" s="741"/>
      <c r="F12" s="741"/>
      <c r="G12" s="741"/>
      <c r="H12" s="741"/>
      <c r="I12" s="741"/>
      <c r="J12" s="741"/>
      <c r="K12" s="741"/>
    </row>
    <row r="13" spans="1:12">
      <c r="D13" s="741"/>
      <c r="E13" s="741"/>
      <c r="F13" s="741"/>
      <c r="G13" s="741"/>
      <c r="H13" s="741"/>
      <c r="I13" s="741"/>
      <c r="J13" s="741"/>
      <c r="K13" s="741"/>
    </row>
    <row r="14" spans="1:12">
      <c r="B14" t="s">
        <v>21</v>
      </c>
      <c r="C14" s="209" t="str">
        <f>'RFPR cover'!$C$14</f>
        <v>£m 09/10</v>
      </c>
      <c r="D14" s="17">
        <f>D10/Data!C$34</f>
        <v>1.2856895996949147</v>
      </c>
      <c r="E14" s="17">
        <f>E10/Data!D$34</f>
        <v>1.8662420178675097</v>
      </c>
      <c r="F14" s="17">
        <f>F10/Data!E$34</f>
        <v>1.8879290221367366</v>
      </c>
      <c r="G14" s="17">
        <f>G10/Data!F$34</f>
        <v>1.8637946164412511</v>
      </c>
      <c r="H14" s="17">
        <f>H10/Data!G$34</f>
        <v>1.7172952260392569</v>
      </c>
      <c r="I14" s="17">
        <f>I10/Data!H$34</f>
        <v>1.7311138089993932</v>
      </c>
      <c r="J14" s="17">
        <f>J10/Data!I$34</f>
        <v>1.743109791427254</v>
      </c>
      <c r="K14" s="17">
        <f>K10/Data!J$34</f>
        <v>0</v>
      </c>
    </row>
    <row r="15" spans="1:12">
      <c r="D15" s="741"/>
      <c r="E15" s="741"/>
      <c r="F15" s="741"/>
      <c r="G15" s="741"/>
      <c r="H15" s="741"/>
      <c r="I15" s="741"/>
      <c r="J15" s="741"/>
      <c r="K15" s="741"/>
    </row>
    <row r="16" spans="1:12">
      <c r="D16" s="741"/>
      <c r="E16" s="741"/>
      <c r="F16" s="741"/>
      <c r="G16" s="741"/>
      <c r="H16" s="741"/>
      <c r="I16" s="741"/>
      <c r="J16" s="741"/>
      <c r="K16" s="741"/>
    </row>
    <row r="17" spans="2:11" s="2" customFormat="1">
      <c r="B17" s="14" t="s">
        <v>308</v>
      </c>
      <c r="C17" s="209" t="str">
        <f>'RFPR cover'!$C$14</f>
        <v>£m 09/10</v>
      </c>
      <c r="D17" s="748">
        <v>0.2</v>
      </c>
      <c r="E17" s="748">
        <v>0.2</v>
      </c>
      <c r="F17" s="748">
        <v>2.1</v>
      </c>
      <c r="G17" s="748">
        <v>2.1</v>
      </c>
      <c r="H17" s="748">
        <v>2.1</v>
      </c>
      <c r="I17" s="748">
        <v>2.5</v>
      </c>
      <c r="J17" s="748">
        <v>2.5</v>
      </c>
      <c r="K17" s="748">
        <v>2.5</v>
      </c>
    </row>
    <row r="18" spans="2:11" s="2" customFormat="1">
      <c r="B18" s="199" t="s">
        <v>309</v>
      </c>
      <c r="C18" s="209" t="str">
        <f>'RFPR cover'!$C$14</f>
        <v>£m 09/10</v>
      </c>
      <c r="D18" s="748">
        <v>0</v>
      </c>
      <c r="E18" s="748">
        <v>0</v>
      </c>
      <c r="F18" s="748">
        <v>0.1</v>
      </c>
      <c r="G18" s="748">
        <v>0.1</v>
      </c>
      <c r="H18" s="748">
        <v>0.1</v>
      </c>
      <c r="I18" s="748">
        <v>0.5</v>
      </c>
      <c r="J18" s="748">
        <v>0.5</v>
      </c>
      <c r="K18" s="748">
        <v>0.5</v>
      </c>
    </row>
    <row r="19" spans="2:11" s="2" customFormat="1">
      <c r="B19" s="14" t="s">
        <v>310</v>
      </c>
      <c r="C19" s="209" t="str">
        <f>'RFPR cover'!$C$14</f>
        <v>£m 09/10</v>
      </c>
      <c r="D19" s="17">
        <f>D17-D18</f>
        <v>0.2</v>
      </c>
      <c r="E19" s="17">
        <f t="shared" ref="E19:K19" si="1">E17-E18</f>
        <v>0.2</v>
      </c>
      <c r="F19" s="17">
        <f t="shared" si="1"/>
        <v>2</v>
      </c>
      <c r="G19" s="17">
        <f t="shared" si="1"/>
        <v>2</v>
      </c>
      <c r="H19" s="17">
        <f t="shared" si="1"/>
        <v>2</v>
      </c>
      <c r="I19" s="17">
        <f t="shared" si="1"/>
        <v>2</v>
      </c>
      <c r="J19" s="17">
        <f t="shared" si="1"/>
        <v>2</v>
      </c>
      <c r="K19" s="17">
        <f t="shared" si="1"/>
        <v>2</v>
      </c>
    </row>
    <row r="20" spans="2:11" s="2" customFormat="1">
      <c r="B20" s="14"/>
      <c r="C20" s="14"/>
      <c r="D20" s="14"/>
      <c r="E20" s="14"/>
      <c r="F20" s="14"/>
      <c r="G20" s="14"/>
      <c r="H20" s="14"/>
      <c r="I20" s="14"/>
      <c r="J20" s="14"/>
      <c r="K20" s="14"/>
    </row>
    <row r="21" spans="2:11" s="2" customFormat="1">
      <c r="B21" s="14"/>
      <c r="C21" s="14"/>
      <c r="D21" s="995" t="s">
        <v>115</v>
      </c>
      <c r="E21" s="14"/>
      <c r="F21" s="14"/>
      <c r="G21" s="14"/>
      <c r="H21" s="14"/>
      <c r="I21" s="14"/>
      <c r="J21" s="14"/>
      <c r="K21" s="14"/>
    </row>
    <row r="22" spans="2:11" s="2" customFormat="1" ht="12.75" customHeight="1">
      <c r="B22" s="14"/>
      <c r="C22" s="14"/>
      <c r="D22" s="996"/>
      <c r="E22" s="14"/>
      <c r="F22" s="14"/>
      <c r="G22" s="14"/>
      <c r="H22" s="14"/>
      <c r="I22" s="14"/>
      <c r="J22" s="14"/>
      <c r="K22" s="14"/>
    </row>
    <row r="23" spans="2:11">
      <c r="C23" s="14"/>
      <c r="D23" s="997"/>
      <c r="E23" s="14"/>
    </row>
    <row r="24" spans="2:11">
      <c r="B24" s="14" t="s">
        <v>114</v>
      </c>
      <c r="C24" s="14"/>
      <c r="D24" s="514">
        <v>42460</v>
      </c>
    </row>
    <row r="25" spans="2:11">
      <c r="B25" s="14"/>
      <c r="C25" s="14"/>
      <c r="D25" s="38"/>
      <c r="E25" s="39"/>
      <c r="F25" s="39"/>
    </row>
    <row r="26" spans="2:11">
      <c r="B26" s="199" t="s">
        <v>307</v>
      </c>
      <c r="C26" s="14"/>
      <c r="D26" s="353" t="s">
        <v>622</v>
      </c>
      <c r="E26" s="39"/>
      <c r="F26" s="39"/>
    </row>
    <row r="27" spans="2:11">
      <c r="B27" s="199"/>
      <c r="C27" s="14"/>
      <c r="D27" s="38"/>
      <c r="E27" s="39"/>
      <c r="F27" s="39"/>
    </row>
    <row r="28" spans="2:11">
      <c r="B28" s="14"/>
      <c r="D28" s="352" t="s">
        <v>277</v>
      </c>
      <c r="E28" s="39"/>
      <c r="F28" s="39"/>
    </row>
    <row r="29" spans="2:11">
      <c r="B29" t="s">
        <v>24</v>
      </c>
      <c r="D29" s="748">
        <v>383.31736000000001</v>
      </c>
    </row>
    <row r="30" spans="2:11">
      <c r="B30" t="s">
        <v>25</v>
      </c>
      <c r="D30" s="748">
        <v>4838.7826400000004</v>
      </c>
    </row>
    <row r="31" spans="2:11">
      <c r="D31" s="741"/>
    </row>
    <row r="32" spans="2:11">
      <c r="B32" t="s">
        <v>26</v>
      </c>
      <c r="D32" s="748">
        <v>324.79520734800002</v>
      </c>
    </row>
    <row r="33" spans="2:4">
      <c r="B33" t="s">
        <v>27</v>
      </c>
      <c r="D33" s="748">
        <v>4085.9317542719996</v>
      </c>
    </row>
    <row r="34" spans="2:4">
      <c r="D34" s="741"/>
    </row>
    <row r="35" spans="2:4">
      <c r="B35" s="41" t="s">
        <v>29</v>
      </c>
      <c r="D35" s="17">
        <f>D29-D32</f>
        <v>58.522152651999988</v>
      </c>
    </row>
    <row r="36" spans="2:4">
      <c r="B36" s="41" t="s">
        <v>28</v>
      </c>
      <c r="D36" s="17">
        <f>D30-D33</f>
        <v>752.85088572800078</v>
      </c>
    </row>
    <row r="37" spans="2:4">
      <c r="D37" s="741"/>
    </row>
    <row r="38" spans="2:4">
      <c r="B38" t="s">
        <v>30</v>
      </c>
      <c r="D38" s="748">
        <v>20.452360594944</v>
      </c>
    </row>
    <row r="39" spans="2:4">
      <c r="B39" t="s">
        <v>31</v>
      </c>
      <c r="D39" s="748">
        <v>3.9363941455598397</v>
      </c>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A7" sqref="A7"/>
    </sheetView>
  </sheetViews>
  <sheetFormatPr defaultRowHeight="12.75"/>
  <cols>
    <col min="1" max="1" width="8.375" customWidth="1"/>
    <col min="2" max="2" width="70.75" customWidth="1"/>
    <col min="3" max="3" width="14.125" customWidth="1"/>
    <col min="4" max="11" width="11.125" customWidth="1"/>
    <col min="12" max="12" width="5" customWidth="1"/>
  </cols>
  <sheetData>
    <row r="1" spans="1:19" s="29" customFormat="1" ht="20.25">
      <c r="A1" s="900" t="s">
        <v>253</v>
      </c>
      <c r="B1" s="909"/>
      <c r="C1" s="255"/>
      <c r="D1" s="255"/>
      <c r="E1" s="255"/>
      <c r="F1" s="255"/>
      <c r="G1" s="255"/>
      <c r="H1" s="255"/>
      <c r="I1" s="256"/>
      <c r="J1" s="256"/>
      <c r="K1" s="257"/>
      <c r="L1" s="354"/>
      <c r="M1" s="31"/>
      <c r="N1" s="31"/>
      <c r="O1" s="30" t="s">
        <v>81</v>
      </c>
      <c r="P1" s="31"/>
      <c r="Q1" s="31"/>
      <c r="R1" s="31"/>
      <c r="S1" s="31"/>
    </row>
    <row r="2" spans="1:19" s="29" customFormat="1" ht="20.25">
      <c r="A2" s="902" t="str">
        <f>'RFPR cover'!C5</f>
        <v>SPT</v>
      </c>
      <c r="B2" s="895"/>
      <c r="C2" s="27"/>
      <c r="D2" s="27"/>
      <c r="E2" s="27"/>
      <c r="F2" s="27"/>
      <c r="G2" s="27"/>
      <c r="H2" s="27"/>
      <c r="I2" s="25"/>
      <c r="J2" s="25"/>
      <c r="K2" s="25"/>
      <c r="L2" s="122"/>
      <c r="M2" s="31"/>
      <c r="N2" s="31"/>
      <c r="O2" s="30" t="s">
        <v>81</v>
      </c>
      <c r="P2" s="31"/>
      <c r="Q2" s="31"/>
      <c r="R2" s="31"/>
      <c r="S2" s="31"/>
    </row>
    <row r="3" spans="1:19" s="29" customFormat="1" ht="20.25">
      <c r="A3" s="905">
        <f>'RFPR cover'!C7</f>
        <v>2020</v>
      </c>
      <c r="B3" s="912"/>
      <c r="C3" s="259"/>
      <c r="D3" s="259"/>
      <c r="E3" s="259"/>
      <c r="F3" s="259"/>
      <c r="G3" s="259"/>
      <c r="H3" s="259"/>
      <c r="I3" s="254"/>
      <c r="J3" s="254"/>
      <c r="K3" s="254"/>
      <c r="L3" s="260"/>
      <c r="M3" s="31"/>
      <c r="N3" s="31"/>
      <c r="O3" s="30" t="s">
        <v>81</v>
      </c>
      <c r="P3" s="31"/>
      <c r="Q3" s="31"/>
      <c r="R3" s="31"/>
      <c r="S3" s="31"/>
    </row>
    <row r="4" spans="1:19" s="2" customFormat="1" ht="12.75" customHeight="1">
      <c r="M4" s="31"/>
      <c r="N4" s="31"/>
      <c r="O4" s="30" t="s">
        <v>81</v>
      </c>
      <c r="P4" s="31"/>
      <c r="Q4" s="31"/>
      <c r="R4" s="31"/>
      <c r="S4" s="31"/>
    </row>
    <row r="5" spans="1:19" s="2" customFormat="1" ht="12.75" customHeight="1">
      <c r="B5" s="3"/>
      <c r="C5" s="3"/>
      <c r="D5" s="379" t="str">
        <f>IF(D6&lt;='RFPR cover'!$C$7,"Actuals","Forecast")</f>
        <v>Actuals</v>
      </c>
      <c r="E5" s="380" t="str">
        <f>IF(E6&lt;='RFPR cover'!$C$7,"Actuals","Forecast")</f>
        <v>Actuals</v>
      </c>
      <c r="F5" s="380" t="str">
        <f>IF(F6&lt;='RFPR cover'!$C$7,"Actuals","Forecast")</f>
        <v>Actuals</v>
      </c>
      <c r="G5" s="380" t="str">
        <f>IF(G6&lt;='RFPR cover'!$C$7,"Actuals","Forecast")</f>
        <v>Actuals</v>
      </c>
      <c r="H5" s="380" t="str">
        <f>IF(H6&lt;='RFPR cover'!$C$7,"Actuals","Forecast")</f>
        <v>Actuals</v>
      </c>
      <c r="I5" s="380" t="str">
        <f>IF(I6&lt;='RFPR cover'!$C$7,"Actuals","Forecast")</f>
        <v>Actuals</v>
      </c>
      <c r="J5" s="380" t="str">
        <f>IF(J6&lt;='RFPR cover'!$C$7,"Actuals","Forecast")</f>
        <v>Actuals</v>
      </c>
      <c r="K5" s="381" t="str">
        <f>IF(K6&lt;='RFPR cover'!$C$7,"Actuals","Forecast")</f>
        <v>Forecast</v>
      </c>
      <c r="M5" s="31"/>
      <c r="N5" s="31"/>
      <c r="O5" s="30" t="s">
        <v>81</v>
      </c>
      <c r="P5" s="31"/>
      <c r="Q5" s="31"/>
      <c r="R5" s="31"/>
      <c r="S5" s="31"/>
    </row>
    <row r="6" spans="1:19" s="2" customFormat="1">
      <c r="C6" s="14"/>
      <c r="D6" s="116">
        <f>'RFPR cover'!$C$13</f>
        <v>2014</v>
      </c>
      <c r="E6" s="117">
        <f>D6+1</f>
        <v>2015</v>
      </c>
      <c r="F6" s="117">
        <f t="shared" ref="F6:K6" si="0">E6+1</f>
        <v>2016</v>
      </c>
      <c r="G6" s="117">
        <f t="shared" si="0"/>
        <v>2017</v>
      </c>
      <c r="H6" s="117">
        <f t="shared" si="0"/>
        <v>2018</v>
      </c>
      <c r="I6" s="117">
        <f t="shared" si="0"/>
        <v>2019</v>
      </c>
      <c r="J6" s="117">
        <f t="shared" si="0"/>
        <v>2020</v>
      </c>
      <c r="K6" s="194">
        <f t="shared" si="0"/>
        <v>2021</v>
      </c>
    </row>
    <row r="7" spans="1:19">
      <c r="D7" s="752"/>
      <c r="E7" s="752"/>
      <c r="F7" s="752"/>
      <c r="G7" s="752"/>
      <c r="H7" s="752"/>
      <c r="I7" s="752"/>
      <c r="J7" s="752"/>
      <c r="K7" s="752"/>
    </row>
    <row r="8" spans="1:19">
      <c r="B8" s="49" t="s">
        <v>448</v>
      </c>
      <c r="C8" s="209" t="str">
        <f>'RFPR cover'!$C$14</f>
        <v>£m 09/10</v>
      </c>
      <c r="D8" s="749">
        <f>(D16+D21)/Data!C34</f>
        <v>0</v>
      </c>
      <c r="E8" s="749">
        <f>(E16+E21)/Data!D34</f>
        <v>0</v>
      </c>
      <c r="F8" s="749">
        <f>(F16+F21)/Data!E34</f>
        <v>0</v>
      </c>
      <c r="G8" s="749">
        <f>(G16+G21)/Data!F34</f>
        <v>0</v>
      </c>
      <c r="H8" s="749">
        <f>(H16+H21)/Data!G34</f>
        <v>0</v>
      </c>
      <c r="I8" s="749">
        <f>(I16+I21)/Data!H34</f>
        <v>0</v>
      </c>
      <c r="J8" s="749">
        <f>(J16+J21)/Data!I34</f>
        <v>0</v>
      </c>
      <c r="K8" s="749">
        <f>(K16+K21)/Data!J34</f>
        <v>0</v>
      </c>
    </row>
    <row r="9" spans="1:19">
      <c r="D9" s="752"/>
      <c r="E9" s="752"/>
      <c r="F9" s="752"/>
      <c r="G9" s="752"/>
      <c r="H9" s="752"/>
      <c r="I9" s="752"/>
      <c r="J9" s="752"/>
      <c r="K9" s="752"/>
    </row>
    <row r="10" spans="1:19">
      <c r="B10" s="14" t="s">
        <v>432</v>
      </c>
      <c r="D10" s="752"/>
      <c r="E10" s="752"/>
      <c r="F10" s="752"/>
      <c r="G10" s="752"/>
      <c r="H10" s="752"/>
      <c r="I10" s="752"/>
      <c r="J10" s="752"/>
      <c r="K10" s="752"/>
    </row>
    <row r="11" spans="1:19">
      <c r="B11" s="42" t="s">
        <v>562</v>
      </c>
      <c r="C11" s="151" t="s">
        <v>125</v>
      </c>
      <c r="D11" s="628">
        <v>0</v>
      </c>
      <c r="E11" s="629">
        <v>0</v>
      </c>
      <c r="F11" s="629">
        <v>0</v>
      </c>
      <c r="G11" s="629">
        <v>0</v>
      </c>
      <c r="H11" s="629">
        <v>0</v>
      </c>
      <c r="I11" s="629">
        <v>0</v>
      </c>
      <c r="J11" s="629">
        <v>0</v>
      </c>
      <c r="K11" s="630">
        <v>0</v>
      </c>
    </row>
    <row r="12" spans="1:19">
      <c r="B12" s="42" t="s">
        <v>562</v>
      </c>
      <c r="C12" s="151" t="s">
        <v>125</v>
      </c>
      <c r="D12" s="628">
        <v>0</v>
      </c>
      <c r="E12" s="629">
        <v>0</v>
      </c>
      <c r="F12" s="629">
        <v>0</v>
      </c>
      <c r="G12" s="629">
        <v>0</v>
      </c>
      <c r="H12" s="629">
        <v>0</v>
      </c>
      <c r="I12" s="629">
        <v>0</v>
      </c>
      <c r="J12" s="629">
        <v>0</v>
      </c>
      <c r="K12" s="630">
        <v>0</v>
      </c>
    </row>
    <row r="13" spans="1:19">
      <c r="B13" s="42" t="s">
        <v>561</v>
      </c>
      <c r="C13" s="151" t="s">
        <v>125</v>
      </c>
      <c r="D13" s="628">
        <v>0</v>
      </c>
      <c r="E13" s="629">
        <v>0</v>
      </c>
      <c r="F13" s="629">
        <v>0</v>
      </c>
      <c r="G13" s="629">
        <v>0</v>
      </c>
      <c r="H13" s="629">
        <v>0</v>
      </c>
      <c r="I13" s="629">
        <v>0</v>
      </c>
      <c r="J13" s="629">
        <v>0</v>
      </c>
      <c r="K13" s="630">
        <v>0</v>
      </c>
    </row>
    <row r="14" spans="1:19">
      <c r="B14" s="14" t="s">
        <v>445</v>
      </c>
      <c r="C14" s="151" t="s">
        <v>125</v>
      </c>
      <c r="D14" s="749">
        <f>SUM(D11:D13)</f>
        <v>0</v>
      </c>
      <c r="E14" s="750">
        <f t="shared" ref="E14:K14" si="1">SUM(E11:E13)</f>
        <v>0</v>
      </c>
      <c r="F14" s="750">
        <f t="shared" si="1"/>
        <v>0</v>
      </c>
      <c r="G14" s="750">
        <f t="shared" si="1"/>
        <v>0</v>
      </c>
      <c r="H14" s="750">
        <f t="shared" si="1"/>
        <v>0</v>
      </c>
      <c r="I14" s="750">
        <f t="shared" si="1"/>
        <v>0</v>
      </c>
      <c r="J14" s="750">
        <f t="shared" si="1"/>
        <v>0</v>
      </c>
      <c r="K14" s="751">
        <f t="shared" si="1"/>
        <v>0</v>
      </c>
    </row>
    <row r="15" spans="1:19">
      <c r="B15" s="33" t="s">
        <v>439</v>
      </c>
      <c r="C15" s="151" t="s">
        <v>125</v>
      </c>
      <c r="D15" s="628">
        <v>0</v>
      </c>
      <c r="E15" s="629">
        <v>0</v>
      </c>
      <c r="F15" s="629">
        <v>0</v>
      </c>
      <c r="G15" s="629">
        <v>0</v>
      </c>
      <c r="H15" s="629">
        <v>0</v>
      </c>
      <c r="I15" s="629">
        <v>0</v>
      </c>
      <c r="J15" s="629">
        <v>0</v>
      </c>
      <c r="K15" s="630">
        <v>0</v>
      </c>
    </row>
    <row r="16" spans="1:19">
      <c r="B16" s="49" t="s">
        <v>446</v>
      </c>
      <c r="C16" s="151" t="s">
        <v>125</v>
      </c>
      <c r="D16" s="749">
        <f>D14-D15</f>
        <v>0</v>
      </c>
      <c r="E16" s="749">
        <f t="shared" ref="E16:K16" si="2">E14-E15</f>
        <v>0</v>
      </c>
      <c r="F16" s="749">
        <f t="shared" si="2"/>
        <v>0</v>
      </c>
      <c r="G16" s="749">
        <f t="shared" si="2"/>
        <v>0</v>
      </c>
      <c r="H16" s="749">
        <f t="shared" si="2"/>
        <v>0</v>
      </c>
      <c r="I16" s="749">
        <f t="shared" si="2"/>
        <v>0</v>
      </c>
      <c r="J16" s="749">
        <f t="shared" si="2"/>
        <v>0</v>
      </c>
      <c r="K16" s="749">
        <f t="shared" si="2"/>
        <v>0</v>
      </c>
    </row>
    <row r="18" spans="2:11">
      <c r="B18" s="14" t="s">
        <v>443</v>
      </c>
      <c r="D18" s="752"/>
      <c r="E18" s="752"/>
      <c r="F18" s="752"/>
      <c r="G18" s="752"/>
      <c r="H18" s="752"/>
      <c r="I18" s="752"/>
      <c r="J18" s="752"/>
      <c r="K18" s="752"/>
    </row>
    <row r="19" spans="2:11">
      <c r="B19" s="837" t="s">
        <v>444</v>
      </c>
      <c r="C19" s="151" t="s">
        <v>125</v>
      </c>
      <c r="D19" s="628">
        <v>0</v>
      </c>
      <c r="E19" s="629">
        <v>0</v>
      </c>
      <c r="F19" s="629">
        <v>0</v>
      </c>
      <c r="G19" s="629">
        <v>0</v>
      </c>
      <c r="H19" s="629">
        <v>0</v>
      </c>
      <c r="I19" s="629">
        <v>0</v>
      </c>
      <c r="J19" s="629">
        <v>0</v>
      </c>
      <c r="K19" s="630">
        <v>0</v>
      </c>
    </row>
    <row r="20" spans="2:11">
      <c r="B20" s="33" t="s">
        <v>439</v>
      </c>
      <c r="C20" s="151" t="s">
        <v>125</v>
      </c>
      <c r="D20" s="628">
        <v>0</v>
      </c>
      <c r="E20" s="629">
        <v>0</v>
      </c>
      <c r="F20" s="629">
        <v>0</v>
      </c>
      <c r="G20" s="629">
        <v>0</v>
      </c>
      <c r="H20" s="629">
        <v>0</v>
      </c>
      <c r="I20" s="629">
        <v>0</v>
      </c>
      <c r="J20" s="629">
        <v>0</v>
      </c>
      <c r="K20" s="630">
        <v>0</v>
      </c>
    </row>
    <row r="21" spans="2:11">
      <c r="B21" s="49" t="s">
        <v>447</v>
      </c>
      <c r="C21" s="151" t="s">
        <v>125</v>
      </c>
      <c r="D21" s="749">
        <f>D19-D20</f>
        <v>0</v>
      </c>
      <c r="E21" s="749">
        <f t="shared" ref="E21:K21" si="3">E19-E20</f>
        <v>0</v>
      </c>
      <c r="F21" s="749">
        <f t="shared" si="3"/>
        <v>0</v>
      </c>
      <c r="G21" s="749">
        <f t="shared" si="3"/>
        <v>0</v>
      </c>
      <c r="H21" s="749">
        <f t="shared" si="3"/>
        <v>0</v>
      </c>
      <c r="I21" s="749">
        <f t="shared" si="3"/>
        <v>0</v>
      </c>
      <c r="J21" s="749">
        <f t="shared" si="3"/>
        <v>0</v>
      </c>
      <c r="K21" s="749">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Props1.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R8 - Net Debt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'R8 - Net Debt'!Print_Area</vt:lpstr>
      <vt:lpstr>'R9 - RAV'!Print_Area</vt:lpstr>
      <vt:lpstr>'RFPR 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lastModifiedBy/>
  <dcterms:created xsi:type="dcterms:W3CDTF">2020-08-31T15:54:59Z</dcterms:created>
  <dcterms:modified xsi:type="dcterms:W3CDTF">2020-08-31T15:55:35Z</dcterms:modified>
  <cp:contentStatus/>
</cp:coreProperties>
</file>